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30" yWindow="-75" windowWidth="2100" windowHeight="1185" activeTab="3"/>
  </bookViews>
  <sheets>
    <sheet name="ввод" sheetId="2" r:id="rId1"/>
    <sheet name="Графики" sheetId="5" r:id="rId2"/>
    <sheet name="2026" sheetId="4" r:id="rId3"/>
    <sheet name="ИТ" sheetId="7" r:id="rId4"/>
  </sheets>
  <calcPr calcId="125725"/>
</workbook>
</file>

<file path=xl/calcChain.xml><?xml version="1.0" encoding="utf-8"?>
<calcChain xmlns="http://schemas.openxmlformats.org/spreadsheetml/2006/main">
  <c r="J87" i="7"/>
  <c r="J9"/>
  <c r="E65"/>
  <c r="F60"/>
  <c r="E60"/>
  <c r="F54"/>
  <c r="E54"/>
  <c r="E48"/>
  <c r="E42"/>
  <c r="E36"/>
  <c r="L32"/>
  <c r="K32"/>
  <c r="H32"/>
  <c r="G30"/>
  <c r="F27"/>
  <c r="I65" s="1"/>
  <c r="C20"/>
  <c r="C27" s="1"/>
  <c r="C19"/>
  <c r="C26" s="1"/>
  <c r="C18"/>
  <c r="C25" s="1"/>
  <c r="C66" s="1"/>
  <c r="D66" s="1"/>
  <c r="I17"/>
  <c r="F17"/>
  <c r="C17"/>
  <c r="C24" s="1"/>
  <c r="C65" s="1"/>
  <c r="C15"/>
  <c r="C14"/>
  <c r="G17" s="1"/>
  <c r="C13"/>
  <c r="C30" s="1"/>
  <c r="C9"/>
  <c r="C8"/>
  <c r="K7"/>
  <c r="J7"/>
  <c r="C7"/>
  <c r="C10" s="1"/>
  <c r="G5" s="1"/>
  <c r="J5" s="1"/>
  <c r="C6"/>
  <c r="I5"/>
  <c r="H5"/>
  <c r="F5"/>
  <c r="C5"/>
  <c r="H3"/>
  <c r="C1"/>
  <c r="C5" i="4"/>
  <c r="C6"/>
  <c r="B17" i="2"/>
  <c r="C9"/>
  <c r="C8"/>
  <c r="B9"/>
  <c r="J7" i="4"/>
  <c r="C14" i="2"/>
  <c r="E65" i="4"/>
  <c r="E60"/>
  <c r="E54"/>
  <c r="E48"/>
  <c r="E42"/>
  <c r="E36"/>
  <c r="I17"/>
  <c r="C19"/>
  <c r="B42" i="5" s="1"/>
  <c r="H3" i="4"/>
  <c r="C1"/>
  <c r="L32"/>
  <c r="H32"/>
  <c r="K32"/>
  <c r="C14"/>
  <c r="C13"/>
  <c r="C30" s="1"/>
  <c r="K5" i="7" l="1"/>
  <c r="D65"/>
  <c r="F65" s="1"/>
  <c r="C52"/>
  <c r="C46"/>
  <c r="C58"/>
  <c r="C34"/>
  <c r="C40"/>
  <c r="H15"/>
  <c r="L4" s="1"/>
  <c r="C21"/>
  <c r="C28" s="1"/>
  <c r="C67" s="1"/>
  <c r="G65" s="1"/>
  <c r="I5" i="4"/>
  <c r="C8"/>
  <c r="C9" s="1"/>
  <c r="C7"/>
  <c r="B22" i="5" s="1"/>
  <c r="C18" i="4"/>
  <c r="C20"/>
  <c r="C21" s="1"/>
  <c r="C17"/>
  <c r="B23" i="5"/>
  <c r="B5"/>
  <c r="H5" i="4"/>
  <c r="G17"/>
  <c r="C15"/>
  <c r="H15"/>
  <c r="L16" i="7" l="1"/>
  <c r="J65"/>
  <c r="K65" s="1"/>
  <c r="L47"/>
  <c r="H48" s="1"/>
  <c r="C49"/>
  <c r="D49" s="1"/>
  <c r="I48"/>
  <c r="C48"/>
  <c r="C61"/>
  <c r="C60"/>
  <c r="L59" s="1"/>
  <c r="C36"/>
  <c r="I36"/>
  <c r="L35"/>
  <c r="H36" s="1"/>
  <c r="C37"/>
  <c r="D42"/>
  <c r="F42" s="1"/>
  <c r="I42"/>
  <c r="L41"/>
  <c r="H42" s="1"/>
  <c r="C42"/>
  <c r="K42" s="1"/>
  <c r="H17"/>
  <c r="J17" s="1"/>
  <c r="K17" s="1"/>
  <c r="L53"/>
  <c r="C54"/>
  <c r="K7" i="4"/>
  <c r="G30"/>
  <c r="C26" s="1"/>
  <c r="C46" s="1"/>
  <c r="F17"/>
  <c r="C10"/>
  <c r="G5" s="1"/>
  <c r="B41" i="5"/>
  <c r="B4"/>
  <c r="F27" i="4"/>
  <c r="I65" s="1"/>
  <c r="F5"/>
  <c r="L4"/>
  <c r="L16"/>
  <c r="C28" l="1"/>
  <c r="C67" s="1"/>
  <c r="G65" s="1"/>
  <c r="C34"/>
  <c r="C36" s="1"/>
  <c r="D36" s="1"/>
  <c r="C40"/>
  <c r="I42" s="1"/>
  <c r="H54" i="7"/>
  <c r="J54" s="1"/>
  <c r="K54" s="1"/>
  <c r="H60"/>
  <c r="J60" s="1"/>
  <c r="K60" s="1"/>
  <c r="J42"/>
  <c r="K48"/>
  <c r="D48"/>
  <c r="F48" s="1"/>
  <c r="J48" s="1"/>
  <c r="D36"/>
  <c r="F36" s="1"/>
  <c r="J36" s="1"/>
  <c r="K36" s="1"/>
  <c r="B6" i="5"/>
  <c r="C27" i="4"/>
  <c r="C25"/>
  <c r="B24" i="5"/>
  <c r="C24" i="4"/>
  <c r="C65" s="1"/>
  <c r="D65" s="1"/>
  <c r="B43" i="5"/>
  <c r="C58" i="4"/>
  <c r="C60" s="1"/>
  <c r="C52"/>
  <c r="C54" s="1"/>
  <c r="F60"/>
  <c r="C66"/>
  <c r="D66" s="1"/>
  <c r="F54"/>
  <c r="J5"/>
  <c r="C22" i="5" s="1"/>
  <c r="L35" i="4"/>
  <c r="L47"/>
  <c r="D43" i="5"/>
  <c r="H17" i="4"/>
  <c r="J17" s="1"/>
  <c r="I48"/>
  <c r="C49"/>
  <c r="D49" s="1"/>
  <c r="I36" l="1"/>
  <c r="D24" i="5"/>
  <c r="C37" i="4"/>
  <c r="C48"/>
  <c r="D48" s="1"/>
  <c r="F48" s="1"/>
  <c r="L41"/>
  <c r="C42"/>
  <c r="D42" s="1"/>
  <c r="L53"/>
  <c r="H42"/>
  <c r="F42"/>
  <c r="F65"/>
  <c r="F36"/>
  <c r="C61"/>
  <c r="L59" s="1"/>
  <c r="H60" s="1"/>
  <c r="J60" s="1"/>
  <c r="C41" i="5"/>
  <c r="K5" i="4"/>
  <c r="C4" i="5"/>
  <c r="H54" i="4"/>
  <c r="H48"/>
  <c r="K17"/>
  <c r="C23" i="5"/>
  <c r="C5"/>
  <c r="C42"/>
  <c r="H36" i="4"/>
  <c r="J36" l="1"/>
  <c r="J48"/>
  <c r="C43" i="5" s="1"/>
  <c r="J54" i="4"/>
  <c r="K54" s="1"/>
  <c r="J65"/>
  <c r="C6" i="5" s="1"/>
  <c r="J42" i="4"/>
  <c r="K60"/>
  <c r="K36"/>
  <c r="K65" l="1"/>
  <c r="K48"/>
  <c r="K42"/>
  <c r="C24" i="5"/>
</calcChain>
</file>

<file path=xl/comments1.xml><?xml version="1.0" encoding="utf-8"?>
<comments xmlns="http://schemas.openxmlformats.org/spreadsheetml/2006/main">
  <authors>
    <author>Александр</author>
  </authors>
  <commentList>
    <comment ref="L4" authorId="0">
      <text>
        <r>
          <rPr>
            <sz val="9"/>
            <color indexed="81"/>
            <rFont val="Tahoma"/>
            <family val="2"/>
            <charset val="204"/>
          </rPr>
          <t xml:space="preserve">предварительно расчет УСН
</t>
        </r>
      </text>
    </comment>
    <comment ref="H5" authorId="0">
      <text>
        <r>
          <rPr>
            <sz val="9"/>
            <color indexed="81"/>
            <rFont val="Tahoma"/>
            <family val="2"/>
            <charset val="204"/>
          </rPr>
          <t xml:space="preserve">налог УСН, уменьшенный на СВ
</t>
        </r>
      </text>
    </comment>
    <comment ref="L16" authorId="0">
      <text>
        <r>
          <rPr>
            <sz val="9"/>
            <color indexed="81"/>
            <rFont val="Tahoma"/>
            <family val="2"/>
            <charset val="204"/>
          </rPr>
          <t xml:space="preserve">предварительно расчет УСН
</t>
        </r>
      </text>
    </comment>
    <comment ref="H17" authorId="0">
      <text>
        <r>
          <rPr>
            <sz val="9"/>
            <color indexed="81"/>
            <rFont val="Tahoma"/>
            <family val="2"/>
            <charset val="204"/>
          </rPr>
          <t xml:space="preserve">налог УСН, уменьшенный на СВ
</t>
        </r>
      </text>
    </comment>
    <comment ref="L32" authorId="0">
      <text>
        <r>
          <rPr>
            <sz val="9"/>
            <color indexed="81"/>
            <rFont val="Tahoma"/>
            <family val="2"/>
            <charset val="204"/>
          </rPr>
          <t>объект УСН</t>
        </r>
      </text>
    </comment>
    <comment ref="L35" authorId="0">
      <text>
        <r>
          <rPr>
            <sz val="9"/>
            <color indexed="81"/>
            <rFont val="Tahoma"/>
            <family val="2"/>
            <charset val="204"/>
          </rPr>
          <t xml:space="preserve">предварительно расчет УСН
</t>
        </r>
      </text>
    </comment>
    <comment ref="H36" authorId="0">
      <text>
        <r>
          <rPr>
            <sz val="9"/>
            <color indexed="81"/>
            <rFont val="Tahoma"/>
            <family val="2"/>
            <charset val="204"/>
          </rPr>
          <t xml:space="preserve">налог УСН, уменьшенный на СВ
</t>
        </r>
      </text>
    </comment>
    <comment ref="L41" authorId="0">
      <text>
        <r>
          <rPr>
            <sz val="9"/>
            <color indexed="81"/>
            <rFont val="Tahoma"/>
            <family val="2"/>
            <charset val="204"/>
          </rPr>
          <t xml:space="preserve">предварительно расчет УСН
</t>
        </r>
      </text>
    </comment>
    <comment ref="H42" authorId="0">
      <text>
        <r>
          <rPr>
            <sz val="9"/>
            <color indexed="81"/>
            <rFont val="Tahoma"/>
            <family val="2"/>
            <charset val="204"/>
          </rPr>
          <t xml:space="preserve">налог УСН, уменьшенный на СВ
</t>
        </r>
      </text>
    </comment>
    <comment ref="L47" authorId="0">
      <text>
        <r>
          <rPr>
            <sz val="9"/>
            <color indexed="81"/>
            <rFont val="Tahoma"/>
            <family val="2"/>
            <charset val="204"/>
          </rPr>
          <t xml:space="preserve">предварительно расчет УСН
</t>
        </r>
      </text>
    </comment>
    <comment ref="H48" authorId="0">
      <text>
        <r>
          <rPr>
            <sz val="9"/>
            <color indexed="81"/>
            <rFont val="Tahoma"/>
            <family val="2"/>
            <charset val="204"/>
          </rPr>
          <t xml:space="preserve">налог УСН, уменьшенный на СВ
</t>
        </r>
      </text>
    </comment>
    <comment ref="L53" authorId="0">
      <text>
        <r>
          <rPr>
            <sz val="9"/>
            <color indexed="81"/>
            <rFont val="Tahoma"/>
            <family val="2"/>
            <charset val="204"/>
          </rPr>
          <t xml:space="preserve">предварительно расчет УСН
</t>
        </r>
      </text>
    </comment>
    <comment ref="H54" authorId="0">
      <text>
        <r>
          <rPr>
            <sz val="9"/>
            <color indexed="81"/>
            <rFont val="Tahoma"/>
            <family val="2"/>
            <charset val="204"/>
          </rPr>
          <t xml:space="preserve">налог УСН, уменьшенный на СВ
</t>
        </r>
      </text>
    </comment>
    <comment ref="L59" authorId="0">
      <text>
        <r>
          <rPr>
            <sz val="9"/>
            <color indexed="81"/>
            <rFont val="Tahoma"/>
            <family val="2"/>
            <charset val="204"/>
          </rPr>
          <t xml:space="preserve">предварительно расчет УСН
</t>
        </r>
      </text>
    </comment>
    <comment ref="H60" authorId="0">
      <text>
        <r>
          <rPr>
            <sz val="9"/>
            <color indexed="81"/>
            <rFont val="Tahoma"/>
            <family val="2"/>
            <charset val="204"/>
          </rPr>
          <t xml:space="preserve">налог УСН, уменьшенный на СВ
</t>
        </r>
      </text>
    </comment>
  </commentList>
</comments>
</file>

<file path=xl/comments2.xml><?xml version="1.0" encoding="utf-8"?>
<comments xmlns="http://schemas.openxmlformats.org/spreadsheetml/2006/main">
  <authors>
    <author>Александр</author>
  </authors>
  <commentList>
    <comment ref="L4" authorId="0">
      <text>
        <r>
          <rPr>
            <sz val="9"/>
            <color indexed="81"/>
            <rFont val="Tahoma"/>
            <family val="2"/>
            <charset val="204"/>
          </rPr>
          <t xml:space="preserve">предварительно расчет УСН
</t>
        </r>
      </text>
    </comment>
    <comment ref="H5" authorId="0">
      <text>
        <r>
          <rPr>
            <sz val="9"/>
            <color indexed="81"/>
            <rFont val="Tahoma"/>
            <family val="2"/>
            <charset val="204"/>
          </rPr>
          <t xml:space="preserve">налог УСН, уменьшенный на СВ
</t>
        </r>
      </text>
    </comment>
    <comment ref="L16" authorId="0">
      <text>
        <r>
          <rPr>
            <sz val="9"/>
            <color indexed="81"/>
            <rFont val="Tahoma"/>
            <family val="2"/>
            <charset val="204"/>
          </rPr>
          <t xml:space="preserve">предварительно расчет УСН
</t>
        </r>
      </text>
    </comment>
    <comment ref="H17" authorId="0">
      <text>
        <r>
          <rPr>
            <sz val="9"/>
            <color indexed="81"/>
            <rFont val="Tahoma"/>
            <family val="2"/>
            <charset val="204"/>
          </rPr>
          <t xml:space="preserve">налог УСН, уменьшенный на СВ
</t>
        </r>
      </text>
    </comment>
    <comment ref="L32" authorId="0">
      <text>
        <r>
          <rPr>
            <sz val="9"/>
            <color indexed="81"/>
            <rFont val="Tahoma"/>
            <family val="2"/>
            <charset val="204"/>
          </rPr>
          <t>объект УСН</t>
        </r>
      </text>
    </comment>
    <comment ref="L35" authorId="0">
      <text>
        <r>
          <rPr>
            <sz val="9"/>
            <color indexed="81"/>
            <rFont val="Tahoma"/>
            <family val="2"/>
            <charset val="204"/>
          </rPr>
          <t xml:space="preserve">предварительно расчет УСН
</t>
        </r>
      </text>
    </comment>
    <comment ref="H36" authorId="0">
      <text>
        <r>
          <rPr>
            <sz val="9"/>
            <color indexed="81"/>
            <rFont val="Tahoma"/>
            <family val="2"/>
            <charset val="204"/>
          </rPr>
          <t xml:space="preserve">налог УСН, уменьшенный на СВ
</t>
        </r>
      </text>
    </comment>
    <comment ref="L41" authorId="0">
      <text>
        <r>
          <rPr>
            <sz val="9"/>
            <color indexed="81"/>
            <rFont val="Tahoma"/>
            <family val="2"/>
            <charset val="204"/>
          </rPr>
          <t xml:space="preserve">предварительно расчет УСН
</t>
        </r>
      </text>
    </comment>
    <comment ref="H42" authorId="0">
      <text>
        <r>
          <rPr>
            <sz val="9"/>
            <color indexed="81"/>
            <rFont val="Tahoma"/>
            <family val="2"/>
            <charset val="204"/>
          </rPr>
          <t xml:space="preserve">налог УСН, уменьшенный на СВ
</t>
        </r>
      </text>
    </comment>
    <comment ref="L47" authorId="0">
      <text>
        <r>
          <rPr>
            <sz val="9"/>
            <color indexed="81"/>
            <rFont val="Tahoma"/>
            <family val="2"/>
            <charset val="204"/>
          </rPr>
          <t xml:space="preserve">предварительно расчет УСН
</t>
        </r>
      </text>
    </comment>
    <comment ref="H48" authorId="0">
      <text>
        <r>
          <rPr>
            <sz val="9"/>
            <color indexed="81"/>
            <rFont val="Tahoma"/>
            <family val="2"/>
            <charset val="204"/>
          </rPr>
          <t xml:space="preserve">налог УСН, уменьшенный на СВ
</t>
        </r>
      </text>
    </comment>
    <comment ref="L53" authorId="0">
      <text>
        <r>
          <rPr>
            <sz val="9"/>
            <color indexed="81"/>
            <rFont val="Tahoma"/>
            <family val="2"/>
            <charset val="204"/>
          </rPr>
          <t xml:space="preserve">предварительно расчет УСН
</t>
        </r>
      </text>
    </comment>
    <comment ref="H54" authorId="0">
      <text>
        <r>
          <rPr>
            <sz val="9"/>
            <color indexed="81"/>
            <rFont val="Tahoma"/>
            <family val="2"/>
            <charset val="204"/>
          </rPr>
          <t xml:space="preserve">налог УСН, уменьшенный на СВ
</t>
        </r>
      </text>
    </comment>
    <comment ref="L59" authorId="0">
      <text>
        <r>
          <rPr>
            <sz val="9"/>
            <color indexed="81"/>
            <rFont val="Tahoma"/>
            <family val="2"/>
            <charset val="204"/>
          </rPr>
          <t xml:space="preserve">предварительно расчет УСН
</t>
        </r>
      </text>
    </comment>
    <comment ref="H60" authorId="0">
      <text>
        <r>
          <rPr>
            <sz val="9"/>
            <color indexed="81"/>
            <rFont val="Tahoma"/>
            <family val="2"/>
            <charset val="204"/>
          </rPr>
          <t xml:space="preserve">налог УСН, уменьшенный на СВ
</t>
        </r>
      </text>
    </comment>
  </commentList>
</comments>
</file>

<file path=xl/sharedStrings.xml><?xml version="1.0" encoding="utf-8"?>
<sst xmlns="http://schemas.openxmlformats.org/spreadsheetml/2006/main" count="323" uniqueCount="73">
  <si>
    <t>Итоги года</t>
  </si>
  <si>
    <t>Налоги всего</t>
  </si>
  <si>
    <t>Сумма без НДС</t>
  </si>
  <si>
    <t>НДС к уплате</t>
  </si>
  <si>
    <t>НДС по 
с/фактурам</t>
  </si>
  <si>
    <t>Страховые
 взносы</t>
  </si>
  <si>
    <t>налог 
на приб</t>
  </si>
  <si>
    <t>налог 
по УСН</t>
  </si>
  <si>
    <t>ОСН</t>
  </si>
  <si>
    <t>УСН</t>
  </si>
  <si>
    <t>Система налогообложения:</t>
  </si>
  <si>
    <t>Налоговая
нагрузка</t>
  </si>
  <si>
    <t>Варианты года</t>
  </si>
  <si>
    <t>НДС 5%</t>
  </si>
  <si>
    <t>Необходимость выбора:</t>
  </si>
  <si>
    <t>НДС 7%</t>
  </si>
  <si>
    <t>ОСН классическая</t>
  </si>
  <si>
    <t>году</t>
  </si>
  <si>
    <t>Выручка (без НДС)</t>
  </si>
  <si>
    <t>Расходы по обычной деятельности</t>
  </si>
  <si>
    <t>в тыс. рублей</t>
  </si>
  <si>
    <t>налоги с ФОТ (страховые взносы)</t>
  </si>
  <si>
    <t>Введите данные в голубые ячейки, на основании годового отчета РСВ за предыдущие годы:</t>
  </si>
  <si>
    <t>Прочие доходы счет 91</t>
  </si>
  <si>
    <t>Прочие расходы счет 91</t>
  </si>
  <si>
    <t>Итого доходы</t>
  </si>
  <si>
    <t>Итого расходы</t>
  </si>
  <si>
    <t>Выручка из Книг продаж</t>
  </si>
  <si>
    <t>Расходы из Книг покупок</t>
  </si>
  <si>
    <t>(Да-1; Нет-0)</t>
  </si>
  <si>
    <t>Прибыль до налогообложения</t>
  </si>
  <si>
    <t>ставка</t>
  </si>
  <si>
    <t>Выручка из Книг продаж/
реализация в КУДиР</t>
  </si>
  <si>
    <t>Коффициент роста показателей</t>
  </si>
  <si>
    <t>Введите данные в голубые ячейки, на основании отчета о прибылях и убытках за последний период:</t>
  </si>
  <si>
    <t>с учетом коэффициента роста</t>
  </si>
  <si>
    <t>Показатели отчетности
последнего периода</t>
  </si>
  <si>
    <t>Показатели отчетности
плановые</t>
  </si>
  <si>
    <t>Ставка УСН</t>
  </si>
  <si>
    <t>Объект по УСН 
(1-"доходы минус расходы"; 0-"доходы")</t>
  </si>
  <si>
    <t>Объект по УСН (1-"доходы минус расходы"; 0-"доходы"):</t>
  </si>
  <si>
    <t>Ставка налога по УСН применяемая</t>
  </si>
  <si>
    <r>
      <rPr>
        <b/>
        <sz val="14"/>
        <color theme="1"/>
        <rFont val="Arial"/>
        <family val="2"/>
        <charset val="204"/>
      </rPr>
      <t>Планируемая выручка</t>
    </r>
    <r>
      <rPr>
        <b/>
        <sz val="13"/>
        <color theme="1"/>
        <rFont val="Arial"/>
        <family val="2"/>
        <charset val="204"/>
      </rPr>
      <t xml:space="preserve"> на следующий год</t>
    </r>
  </si>
  <si>
    <r>
      <t xml:space="preserve">Планируемый </t>
    </r>
    <r>
      <rPr>
        <b/>
        <sz val="14"/>
        <color theme="1"/>
        <rFont val="Arial"/>
        <family val="2"/>
        <charset val="204"/>
      </rPr>
      <t xml:space="preserve">объект по УСН </t>
    </r>
    <r>
      <rPr>
        <sz val="14"/>
        <color theme="1"/>
        <rFont val="Arial"/>
        <family val="2"/>
        <charset val="204"/>
      </rPr>
      <t xml:space="preserve">
(1-"доходы минус расходы"; 0-"доходы")</t>
    </r>
  </si>
  <si>
    <t>Налоговый период:</t>
  </si>
  <si>
    <t>в т.ч. Страх.Взн.</t>
  </si>
  <si>
    <t xml:space="preserve">с объектом </t>
  </si>
  <si>
    <r>
      <t xml:space="preserve">Планируемая </t>
    </r>
    <r>
      <rPr>
        <b/>
        <sz val="14"/>
        <color theme="1"/>
        <rFont val="Arial"/>
        <family val="2"/>
        <charset val="204"/>
      </rPr>
      <t>ставка УСН</t>
    </r>
    <r>
      <rPr>
        <sz val="14"/>
        <color theme="1"/>
        <rFont val="Arial"/>
        <family val="2"/>
        <charset val="204"/>
      </rPr>
      <t xml:space="preserve"> (при выборе УСН)</t>
    </r>
  </si>
  <si>
    <t>год 2023</t>
  </si>
  <si>
    <t>год 2024</t>
  </si>
  <si>
    <t>год 2025</t>
  </si>
  <si>
    <t>доход</t>
  </si>
  <si>
    <t>налоги</t>
  </si>
  <si>
    <t>Графики зависимости  суммы налогов от выбора системы</t>
  </si>
  <si>
    <t>НДС 22%  плюс УСН</t>
  </si>
  <si>
    <t>В том числе ФОТ</t>
  </si>
  <si>
    <t>лимит без НДС</t>
  </si>
  <si>
    <t>лимит 5%</t>
  </si>
  <si>
    <t>лимит УСН</t>
  </si>
  <si>
    <t xml:space="preserve">в 2026 </t>
  </si>
  <si>
    <t>АУСН 8%</t>
  </si>
  <si>
    <t>АУСН 20%</t>
  </si>
  <si>
    <t xml:space="preserve">Расходы </t>
  </si>
  <si>
    <t>Доходы</t>
  </si>
  <si>
    <t>Расходы из Книг покупок/цена товара</t>
  </si>
  <si>
    <t>Ввозной НДС</t>
  </si>
  <si>
    <t>Расходы</t>
  </si>
  <si>
    <t>Есть ли ввозной НДС при импорте товаров</t>
  </si>
  <si>
    <t>Уплачено:</t>
  </si>
  <si>
    <t>товарищество</t>
  </si>
  <si>
    <t>в т.ч. расходы без НДС</t>
  </si>
  <si>
    <t>экономия</t>
  </si>
  <si>
    <t>экономия 2026</t>
  </si>
</sst>
</file>

<file path=xl/styles.xml><?xml version="1.0" encoding="utf-8"?>
<styleSheet xmlns="http://schemas.openxmlformats.org/spreadsheetml/2006/main">
  <numFmts count="4">
    <numFmt numFmtId="42" formatCode="_-* #,##0\ &quot;₽&quot;_-;\-* #,##0\ &quot;₽&quot;_-;_-* &quot;-&quot;\ &quot;₽&quot;_-;_-@_-"/>
    <numFmt numFmtId="41" formatCode="_-* #,##0\ _₽_-;\-* #,##0\ _₽_-;_-* &quot;-&quot;\ _₽_-;_-@_-"/>
    <numFmt numFmtId="164" formatCode="0.0000"/>
    <numFmt numFmtId="165" formatCode="0.000"/>
  </numFmts>
  <fonts count="11">
    <font>
      <sz val="11"/>
      <color theme="1"/>
      <name val="Calibri"/>
      <family val="2"/>
      <charset val="204"/>
      <scheme val="minor"/>
    </font>
    <font>
      <sz val="14"/>
      <color theme="1"/>
      <name val="Arial"/>
      <family val="2"/>
      <charset val="204"/>
    </font>
    <font>
      <b/>
      <sz val="14"/>
      <color theme="1"/>
      <name val="Arial"/>
      <family val="2"/>
      <charset val="204"/>
    </font>
    <font>
      <sz val="14"/>
      <color rgb="FFFF0000"/>
      <name val="Arial"/>
      <family val="2"/>
      <charset val="204"/>
    </font>
    <font>
      <b/>
      <sz val="14"/>
      <color rgb="FFFF0000"/>
      <name val="Arial"/>
      <family val="2"/>
      <charset val="204"/>
    </font>
    <font>
      <b/>
      <sz val="12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sz val="9"/>
      <color indexed="81"/>
      <name val="Tahoma"/>
      <family val="2"/>
      <charset val="204"/>
    </font>
    <font>
      <b/>
      <sz val="13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sz val="10"/>
      <color rgb="FFFF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41" fontId="1" fillId="2" borderId="1" xfId="0" applyNumberFormat="1" applyFont="1" applyFill="1" applyBorder="1" applyProtection="1">
      <protection locked="0"/>
    </xf>
    <xf numFmtId="0" fontId="2" fillId="2" borderId="1" xfId="0" applyFont="1" applyFill="1" applyBorder="1" applyAlignment="1" applyProtection="1">
      <alignment horizontal="center"/>
      <protection locked="0"/>
    </xf>
    <xf numFmtId="0" fontId="1" fillId="0" borderId="0" xfId="0" applyFont="1" applyProtection="1"/>
    <xf numFmtId="0" fontId="2" fillId="3" borderId="1" xfId="0" applyFont="1" applyFill="1" applyBorder="1" applyAlignment="1" applyProtection="1">
      <alignment horizontal="center"/>
    </xf>
    <xf numFmtId="0" fontId="1" fillId="3" borderId="1" xfId="0" applyFont="1" applyFill="1" applyBorder="1" applyProtection="1"/>
    <xf numFmtId="0" fontId="2" fillId="0" borderId="0" xfId="0" applyFont="1" applyProtection="1"/>
    <xf numFmtId="0" fontId="1" fillId="0" borderId="1" xfId="0" applyFont="1" applyBorder="1" applyProtection="1"/>
    <xf numFmtId="0" fontId="1" fillId="0" borderId="1" xfId="0" applyFont="1" applyBorder="1" applyAlignment="1" applyProtection="1">
      <alignment horizontal="center" wrapText="1"/>
    </xf>
    <xf numFmtId="0" fontId="1" fillId="0" borderId="1" xfId="0" applyFont="1" applyBorder="1" applyAlignment="1" applyProtection="1">
      <alignment horizontal="center"/>
    </xf>
    <xf numFmtId="0" fontId="1" fillId="0" borderId="1" xfId="0" applyFont="1" applyBorder="1" applyAlignment="1" applyProtection="1">
      <alignment wrapText="1"/>
    </xf>
    <xf numFmtId="41" fontId="1" fillId="0" borderId="1" xfId="0" applyNumberFormat="1" applyFont="1" applyFill="1" applyBorder="1" applyProtection="1"/>
    <xf numFmtId="41" fontId="1" fillId="0" borderId="1" xfId="0" applyNumberFormat="1" applyFont="1" applyBorder="1" applyProtection="1"/>
    <xf numFmtId="41" fontId="1" fillId="3" borderId="1" xfId="0" applyNumberFormat="1" applyFont="1" applyFill="1" applyBorder="1" applyProtection="1"/>
    <xf numFmtId="10" fontId="3" fillId="0" borderId="1" xfId="0" applyNumberFormat="1" applyFont="1" applyBorder="1" applyProtection="1"/>
    <xf numFmtId="41" fontId="1" fillId="0" borderId="0" xfId="0" applyNumberFormat="1" applyFont="1" applyFill="1" applyBorder="1" applyProtection="1"/>
    <xf numFmtId="41" fontId="1" fillId="0" borderId="0" xfId="0" applyNumberFormat="1" applyFont="1" applyProtection="1"/>
    <xf numFmtId="0" fontId="2" fillId="0" borderId="1" xfId="0" applyFont="1" applyBorder="1" applyProtection="1"/>
    <xf numFmtId="41" fontId="2" fillId="0" borderId="1" xfId="0" applyNumberFormat="1" applyFont="1" applyFill="1" applyBorder="1" applyProtection="1"/>
    <xf numFmtId="0" fontId="2" fillId="3" borderId="2" xfId="0" applyFont="1" applyFill="1" applyBorder="1" applyProtection="1"/>
    <xf numFmtId="0" fontId="2" fillId="3" borderId="3" xfId="0" applyFont="1" applyFill="1" applyBorder="1" applyProtection="1"/>
    <xf numFmtId="0" fontId="2" fillId="0" borderId="0" xfId="0" applyFont="1" applyFill="1" applyBorder="1" applyProtection="1"/>
    <xf numFmtId="0" fontId="2" fillId="0" borderId="0" xfId="0" applyFont="1" applyAlignment="1" applyProtection="1">
      <alignment horizontal="center"/>
    </xf>
    <xf numFmtId="0" fontId="2" fillId="0" borderId="0" xfId="0" applyFont="1" applyAlignment="1" applyProtection="1">
      <alignment horizontal="left"/>
    </xf>
    <xf numFmtId="0" fontId="4" fillId="0" borderId="0" xfId="0" applyFont="1" applyProtection="1"/>
    <xf numFmtId="0" fontId="1" fillId="0" borderId="4" xfId="0" applyFont="1" applyBorder="1" applyProtection="1"/>
    <xf numFmtId="0" fontId="2" fillId="2" borderId="1" xfId="0" applyFont="1" applyFill="1" applyBorder="1" applyProtection="1">
      <protection locked="0"/>
    </xf>
    <xf numFmtId="0" fontId="2" fillId="3" borderId="1" xfId="0" applyFont="1" applyFill="1" applyBorder="1" applyProtection="1"/>
    <xf numFmtId="0" fontId="2" fillId="0" borderId="2" xfId="0" applyFont="1" applyBorder="1" applyProtection="1"/>
    <xf numFmtId="0" fontId="5" fillId="0" borderId="1" xfId="0" applyFont="1" applyBorder="1" applyProtection="1"/>
    <xf numFmtId="0" fontId="1" fillId="0" borderId="0" xfId="0" applyFont="1" applyBorder="1" applyProtection="1"/>
    <xf numFmtId="0" fontId="1" fillId="0" borderId="1" xfId="0" applyFont="1" applyBorder="1" applyAlignment="1" applyProtection="1">
      <alignment vertical="center" wrapText="1"/>
    </xf>
    <xf numFmtId="0" fontId="4" fillId="3" borderId="1" xfId="0" applyFont="1" applyFill="1" applyBorder="1" applyProtection="1"/>
    <xf numFmtId="0" fontId="3" fillId="0" borderId="0" xfId="0" applyFont="1" applyFill="1" applyBorder="1" applyProtection="1"/>
    <xf numFmtId="0" fontId="1" fillId="0" borderId="0" xfId="0" applyFont="1" applyFill="1" applyBorder="1" applyProtection="1"/>
    <xf numFmtId="165" fontId="1" fillId="3" borderId="1" xfId="0" applyNumberFormat="1" applyFont="1" applyFill="1" applyBorder="1" applyProtection="1"/>
    <xf numFmtId="0" fontId="2" fillId="0" borderId="0" xfId="0" applyFont="1" applyBorder="1" applyProtection="1"/>
    <xf numFmtId="0" fontId="2" fillId="0" borderId="0" xfId="0" applyFont="1" applyFill="1" applyBorder="1" applyAlignment="1" applyProtection="1">
      <alignment horizontal="center"/>
    </xf>
    <xf numFmtId="0" fontId="1" fillId="0" borderId="1" xfId="0" applyFont="1" applyFill="1" applyBorder="1" applyProtection="1"/>
    <xf numFmtId="0" fontId="1" fillId="0" borderId="0" xfId="0" applyFont="1" applyFill="1" applyBorder="1" applyAlignment="1" applyProtection="1">
      <alignment horizontal="center" wrapText="1"/>
    </xf>
    <xf numFmtId="0" fontId="1" fillId="0" borderId="0" xfId="0" applyFont="1" applyFill="1" applyBorder="1" applyAlignment="1" applyProtection="1">
      <alignment horizontal="center"/>
    </xf>
    <xf numFmtId="0" fontId="1" fillId="0" borderId="0" xfId="0" applyFont="1" applyFill="1" applyBorder="1" applyAlignment="1" applyProtection="1">
      <alignment wrapText="1"/>
    </xf>
    <xf numFmtId="10" fontId="3" fillId="0" borderId="0" xfId="0" applyNumberFormat="1" applyFont="1" applyFill="1" applyBorder="1" applyProtection="1"/>
    <xf numFmtId="41" fontId="2" fillId="3" borderId="1" xfId="0" applyNumberFormat="1" applyFont="1" applyFill="1" applyBorder="1" applyAlignment="1" applyProtection="1">
      <alignment horizontal="center"/>
    </xf>
    <xf numFmtId="0" fontId="8" fillId="0" borderId="1" xfId="0" applyFont="1" applyBorder="1" applyProtection="1"/>
    <xf numFmtId="0" fontId="1" fillId="0" borderId="0" xfId="0" applyFont="1"/>
    <xf numFmtId="0" fontId="4" fillId="3" borderId="1" xfId="0" applyFont="1" applyFill="1" applyBorder="1" applyAlignment="1" applyProtection="1">
      <alignment horizontal="center" wrapText="1"/>
    </xf>
    <xf numFmtId="41" fontId="3" fillId="3" borderId="1" xfId="0" applyNumberFormat="1" applyFont="1" applyFill="1" applyBorder="1" applyProtection="1"/>
    <xf numFmtId="0" fontId="1" fillId="0" borderId="1" xfId="0" applyFont="1" applyBorder="1"/>
    <xf numFmtId="41" fontId="1" fillId="0" borderId="1" xfId="0" applyNumberFormat="1" applyFont="1" applyBorder="1"/>
    <xf numFmtId="0" fontId="1" fillId="0" borderId="1" xfId="0" applyFont="1" applyBorder="1" applyAlignment="1">
      <alignment horizontal="center"/>
    </xf>
    <xf numFmtId="0" fontId="2" fillId="0" borderId="0" xfId="0" applyFont="1"/>
    <xf numFmtId="0" fontId="1" fillId="3" borderId="1" xfId="0" applyFont="1" applyFill="1" applyBorder="1"/>
    <xf numFmtId="41" fontId="1" fillId="3" borderId="1" xfId="0" applyNumberFormat="1" applyFont="1" applyFill="1" applyBorder="1"/>
    <xf numFmtId="0" fontId="1" fillId="3" borderId="2" xfId="0" applyFont="1" applyFill="1" applyBorder="1" applyAlignment="1" applyProtection="1"/>
    <xf numFmtId="0" fontId="1" fillId="2" borderId="0" xfId="0" applyFont="1" applyFill="1" applyProtection="1">
      <protection locked="0"/>
    </xf>
    <xf numFmtId="0" fontId="1" fillId="2" borderId="1" xfId="0" applyFont="1" applyFill="1" applyBorder="1" applyProtection="1">
      <protection locked="0"/>
    </xf>
    <xf numFmtId="0" fontId="1" fillId="3" borderId="2" xfId="0" applyFont="1" applyFill="1" applyBorder="1" applyAlignment="1" applyProtection="1"/>
    <xf numFmtId="42" fontId="1" fillId="3" borderId="1" xfId="0" applyNumberFormat="1" applyFont="1" applyFill="1" applyBorder="1" applyProtection="1"/>
    <xf numFmtId="0" fontId="9" fillId="3" borderId="1" xfId="0" applyFont="1" applyFill="1" applyBorder="1" applyProtection="1"/>
    <xf numFmtId="164" fontId="1" fillId="3" borderId="1" xfId="0" applyNumberFormat="1" applyFont="1" applyFill="1" applyBorder="1" applyProtection="1"/>
    <xf numFmtId="0" fontId="1" fillId="4" borderId="1" xfId="0" applyFont="1" applyFill="1" applyBorder="1" applyProtection="1"/>
    <xf numFmtId="41" fontId="3" fillId="0" borderId="1" xfId="0" applyNumberFormat="1" applyFont="1" applyFill="1" applyBorder="1" applyProtection="1"/>
    <xf numFmtId="41" fontId="3" fillId="0" borderId="1" xfId="0" applyNumberFormat="1" applyFont="1" applyBorder="1" applyProtection="1"/>
    <xf numFmtId="41" fontId="3" fillId="0" borderId="0" xfId="0" applyNumberFormat="1" applyFont="1" applyProtection="1"/>
    <xf numFmtId="41" fontId="10" fillId="0" borderId="1" xfId="0" applyNumberFormat="1" applyFont="1" applyFill="1" applyBorder="1" applyProtection="1"/>
    <xf numFmtId="0" fontId="2" fillId="3" borderId="1" xfId="0" applyFont="1" applyFill="1" applyBorder="1" applyAlignment="1" applyProtection="1"/>
    <xf numFmtId="0" fontId="0" fillId="3" borderId="1" xfId="0" applyFill="1" applyBorder="1" applyAlignment="1" applyProtection="1"/>
    <xf numFmtId="0" fontId="2" fillId="3" borderId="2" xfId="0" applyFont="1" applyFill="1" applyBorder="1" applyAlignment="1" applyProtection="1">
      <alignment horizontal="center"/>
    </xf>
    <xf numFmtId="0" fontId="0" fillId="3" borderId="7" xfId="0" applyFill="1" applyBorder="1" applyAlignment="1" applyProtection="1">
      <alignment horizontal="center"/>
    </xf>
    <xf numFmtId="0" fontId="0" fillId="3" borderId="3" xfId="0" applyFill="1" applyBorder="1" applyAlignment="1" applyProtection="1">
      <alignment horizontal="center"/>
    </xf>
    <xf numFmtId="0" fontId="6" fillId="0" borderId="5" xfId="0" applyFont="1" applyBorder="1" applyAlignment="1" applyProtection="1">
      <alignment wrapText="1"/>
    </xf>
    <xf numFmtId="0" fontId="6" fillId="0" borderId="6" xfId="0" applyFont="1" applyBorder="1" applyAlignment="1" applyProtection="1">
      <alignment wrapText="1"/>
    </xf>
    <xf numFmtId="0" fontId="0" fillId="0" borderId="6" xfId="0" applyFont="1" applyBorder="1" applyAlignment="1" applyProtection="1"/>
    <xf numFmtId="0" fontId="1" fillId="3" borderId="2" xfId="0" applyFont="1" applyFill="1" applyBorder="1" applyAlignment="1" applyProtection="1"/>
    <xf numFmtId="0" fontId="1" fillId="3" borderId="3" xfId="0" applyFont="1" applyFill="1" applyBorder="1" applyAlignment="1" applyProtection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Сумма</a:t>
            </a:r>
            <a:r>
              <a:rPr lang="ru-RU" baseline="0"/>
              <a:t> налогов в зависимости от доходов при выборе ОСН в 2025 г.</a:t>
            </a:r>
            <a:endParaRPr lang="ru-RU"/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v>Доходы</c:v>
          </c:tx>
          <c:dLbls>
            <c:dLbl>
              <c:idx val="2"/>
              <c:showVal val="1"/>
              <c:showSerName val="1"/>
            </c:dLbl>
            <c:delete val="1"/>
          </c:dLbls>
          <c:cat>
            <c:numLit>
              <c:formatCode>General</c:formatCode>
              <c:ptCount val="3"/>
              <c:pt idx="0">
                <c:v>2023</c:v>
              </c:pt>
              <c:pt idx="1">
                <c:v>2024</c:v>
              </c:pt>
              <c:pt idx="2">
                <c:v>2025</c:v>
              </c:pt>
            </c:numLit>
          </c:cat>
          <c:val>
            <c:numRef>
              <c:f>Графики!$B$4:$B$6</c:f>
              <c:numCache>
                <c:formatCode>_-* #,##0\ _₽_-;\-* #,##0\ _₽_-;_-* "-"\ _₽_-;_-@_-</c:formatCode>
                <c:ptCount val="3"/>
                <c:pt idx="0">
                  <c:v>709037</c:v>
                </c:pt>
                <c:pt idx="1">
                  <c:v>19997</c:v>
                </c:pt>
                <c:pt idx="2">
                  <c:v>28977.631708603592</c:v>
                </c:pt>
              </c:numCache>
            </c:numRef>
          </c:val>
        </c:ser>
        <c:ser>
          <c:idx val="1"/>
          <c:order val="1"/>
          <c:tx>
            <c:v>Налоги</c:v>
          </c:tx>
          <c:dLbls>
            <c:dLbl>
              <c:idx val="2"/>
              <c:showVal val="1"/>
              <c:showSerName val="1"/>
            </c:dLbl>
            <c:delete val="1"/>
          </c:dLbls>
          <c:cat>
            <c:numLit>
              <c:formatCode>General</c:formatCode>
              <c:ptCount val="3"/>
              <c:pt idx="0">
                <c:v>2023</c:v>
              </c:pt>
              <c:pt idx="1">
                <c:v>2024</c:v>
              </c:pt>
              <c:pt idx="2">
                <c:v>2025</c:v>
              </c:pt>
            </c:numLit>
          </c:cat>
          <c:val>
            <c:numRef>
              <c:f>Графики!$C$4:$C$6</c:f>
              <c:numCache>
                <c:formatCode>_-* #,##0\ _₽_-;\-* #,##0\ _₽_-;_-* "-"\ _₽_-;_-@_-</c:formatCode>
                <c:ptCount val="3"/>
                <c:pt idx="0">
                  <c:v>118560.33823529411</c:v>
                </c:pt>
                <c:pt idx="1">
                  <c:v>106407.55</c:v>
                </c:pt>
                <c:pt idx="2">
                  <c:v>3513.1946426300369</c:v>
                </c:pt>
              </c:numCache>
            </c:numRef>
          </c:val>
        </c:ser>
        <c:axId val="173297024"/>
        <c:axId val="173327488"/>
      </c:barChart>
      <c:catAx>
        <c:axId val="173297024"/>
        <c:scaling>
          <c:orientation val="minMax"/>
        </c:scaling>
        <c:axPos val="b"/>
        <c:numFmt formatCode="General" sourceLinked="1"/>
        <c:majorTickMark val="none"/>
        <c:tickLblPos val="nextTo"/>
        <c:crossAx val="173327488"/>
        <c:crosses val="autoZero"/>
        <c:auto val="1"/>
        <c:lblAlgn val="ctr"/>
        <c:lblOffset val="100"/>
      </c:catAx>
      <c:valAx>
        <c:axId val="173327488"/>
        <c:scaling>
          <c:orientation val="minMax"/>
        </c:scaling>
        <c:axPos val="l"/>
        <c:majorGridlines/>
        <c:numFmt formatCode="_-* #,##0\ _₽_-;\-* #,##0\ _₽_-;_-* &quot;-&quot;\ _₽_-;_-@_-" sourceLinked="1"/>
        <c:majorTickMark val="none"/>
        <c:tickLblPos val="nextTo"/>
        <c:crossAx val="173297024"/>
        <c:crosses val="autoZero"/>
        <c:crossBetween val="between"/>
      </c:valAx>
    </c:plotArea>
    <c:plotVisOnly val="1"/>
    <c:dispBlanksAs val="gap"/>
  </c:chart>
  <c:printSettings>
    <c:headerFooter/>
    <c:pageMargins b="0.75000000000000089" l="0.70000000000000062" r="0.70000000000000062" t="0.75000000000000089" header="0.30000000000000032" footer="0.30000000000000032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Сумма</a:t>
            </a:r>
            <a:r>
              <a:rPr lang="ru-RU" baseline="0"/>
              <a:t> налогов в зависимости от доходов при выборе УСН + льготная ставка НДС</a:t>
            </a:r>
            <a:endParaRPr lang="ru-RU"/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v>Доходы</c:v>
          </c:tx>
          <c:cat>
            <c:numLit>
              <c:formatCode>General</c:formatCode>
              <c:ptCount val="3"/>
              <c:pt idx="0">
                <c:v>2023</c:v>
              </c:pt>
              <c:pt idx="1">
                <c:v>2024</c:v>
              </c:pt>
              <c:pt idx="2">
                <c:v>2025</c:v>
              </c:pt>
            </c:numLit>
          </c:cat>
          <c:val>
            <c:numRef>
              <c:f>Графики!$B$22:$B$24</c:f>
              <c:numCache>
                <c:formatCode>_-* #,##0\ _₽_-;\-* #,##0\ _₽_-;_-* "-"\ _₽_-;_-@_-</c:formatCode>
                <c:ptCount val="3"/>
                <c:pt idx="0">
                  <c:v>709037</c:v>
                </c:pt>
                <c:pt idx="1">
                  <c:v>19997</c:v>
                </c:pt>
                <c:pt idx="2">
                  <c:v>28977.631708603592</c:v>
                </c:pt>
              </c:numCache>
            </c:numRef>
          </c:val>
        </c:ser>
        <c:ser>
          <c:idx val="1"/>
          <c:order val="1"/>
          <c:tx>
            <c:v>Налоги</c:v>
          </c:tx>
          <c:cat>
            <c:numLit>
              <c:formatCode>General</c:formatCode>
              <c:ptCount val="3"/>
              <c:pt idx="0">
                <c:v>2023</c:v>
              </c:pt>
              <c:pt idx="1">
                <c:v>2024</c:v>
              </c:pt>
              <c:pt idx="2">
                <c:v>2025</c:v>
              </c:pt>
            </c:numLit>
          </c:cat>
          <c:val>
            <c:numRef>
              <c:f>Графики!$C$22:$C$24</c:f>
              <c:numCache>
                <c:formatCode>_-* #,##0\ _₽_-;\-* #,##0\ _₽_-;_-* "-"\ _₽_-;_-@_-</c:formatCode>
                <c:ptCount val="3"/>
                <c:pt idx="0">
                  <c:v>118560.33823529411</c:v>
                </c:pt>
                <c:pt idx="1">
                  <c:v>106407.55</c:v>
                </c:pt>
                <c:pt idx="2">
                  <c:v>1147.7820091467129</c:v>
                </c:pt>
              </c:numCache>
            </c:numRef>
          </c:val>
        </c:ser>
        <c:dLbls>
          <c:showVal val="1"/>
        </c:dLbls>
        <c:overlap val="-25"/>
        <c:axId val="173803392"/>
        <c:axId val="173804928"/>
      </c:barChart>
      <c:catAx>
        <c:axId val="173803392"/>
        <c:scaling>
          <c:orientation val="minMax"/>
        </c:scaling>
        <c:axPos val="b"/>
        <c:numFmt formatCode="General" sourceLinked="1"/>
        <c:majorTickMark val="none"/>
        <c:tickLblPos val="nextTo"/>
        <c:crossAx val="173804928"/>
        <c:crosses val="autoZero"/>
        <c:auto val="1"/>
        <c:lblAlgn val="ctr"/>
        <c:lblOffset val="100"/>
      </c:catAx>
      <c:valAx>
        <c:axId val="173804928"/>
        <c:scaling>
          <c:orientation val="minMax"/>
        </c:scaling>
        <c:delete val="1"/>
        <c:axPos val="l"/>
        <c:numFmt formatCode="_-* #,##0\ _₽_-;\-* #,##0\ _₽_-;_-* &quot;-&quot;\ _₽_-;_-@_-" sourceLinked="1"/>
        <c:majorTickMark val="none"/>
        <c:tickLblPos val="none"/>
        <c:crossAx val="173803392"/>
        <c:crosses val="autoZero"/>
        <c:crossBetween val="between"/>
      </c:valAx>
    </c:plotArea>
    <c:legend>
      <c:legendPos val="t"/>
    </c:legend>
    <c:plotVisOnly val="1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 sz="1800" b="1" i="0" u="none" strike="noStrike" baseline="0"/>
              <a:t>Сумма налогов в зависимости от доходов при выборе УСН + ставка НДС 20%</a:t>
            </a:r>
            <a:endParaRPr lang="ru-RU"/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v>Доходы</c:v>
          </c:tx>
          <c:dLbls>
            <c:dLbl>
              <c:idx val="2"/>
              <c:showVal val="1"/>
              <c:showSerName val="1"/>
            </c:dLbl>
            <c:delete val="1"/>
          </c:dLbls>
          <c:cat>
            <c:numLit>
              <c:formatCode>General</c:formatCode>
              <c:ptCount val="3"/>
              <c:pt idx="0">
                <c:v>2023</c:v>
              </c:pt>
              <c:pt idx="1">
                <c:v>2024</c:v>
              </c:pt>
              <c:pt idx="2">
                <c:v>2025</c:v>
              </c:pt>
            </c:numLit>
          </c:cat>
          <c:val>
            <c:numRef>
              <c:f>Графики!$B$41:$B$43</c:f>
              <c:numCache>
                <c:formatCode>_-* #,##0\ _₽_-;\-* #,##0\ _₽_-;_-* "-"\ _₽_-;_-@_-</c:formatCode>
                <c:ptCount val="3"/>
                <c:pt idx="0">
                  <c:v>709037</c:v>
                </c:pt>
                <c:pt idx="1">
                  <c:v>19997</c:v>
                </c:pt>
                <c:pt idx="2">
                  <c:v>28977.631708603592</c:v>
                </c:pt>
              </c:numCache>
            </c:numRef>
          </c:val>
        </c:ser>
        <c:ser>
          <c:idx val="1"/>
          <c:order val="1"/>
          <c:tx>
            <c:v>Налоги</c:v>
          </c:tx>
          <c:dLbls>
            <c:dLbl>
              <c:idx val="2"/>
              <c:showVal val="1"/>
              <c:showSerName val="1"/>
            </c:dLbl>
            <c:delete val="1"/>
          </c:dLbls>
          <c:cat>
            <c:numLit>
              <c:formatCode>General</c:formatCode>
              <c:ptCount val="3"/>
              <c:pt idx="0">
                <c:v>2023</c:v>
              </c:pt>
              <c:pt idx="1">
                <c:v>2024</c:v>
              </c:pt>
              <c:pt idx="2">
                <c:v>2025</c:v>
              </c:pt>
            </c:numLit>
          </c:cat>
          <c:val>
            <c:numRef>
              <c:f>Графики!$C$41:$C$43</c:f>
              <c:numCache>
                <c:formatCode>_-* #,##0\ _₽_-;\-* #,##0\ _₽_-;_-* "-"\ _₽_-;_-@_-</c:formatCode>
                <c:ptCount val="3"/>
                <c:pt idx="0">
                  <c:v>118560.33823529411</c:v>
                </c:pt>
                <c:pt idx="1">
                  <c:v>106407.55</c:v>
                </c:pt>
                <c:pt idx="2">
                  <c:v>2344.9310689201693</c:v>
                </c:pt>
              </c:numCache>
            </c:numRef>
          </c:val>
        </c:ser>
        <c:axId val="173859584"/>
        <c:axId val="173861120"/>
      </c:barChart>
      <c:catAx>
        <c:axId val="173859584"/>
        <c:scaling>
          <c:orientation val="minMax"/>
        </c:scaling>
        <c:axPos val="b"/>
        <c:numFmt formatCode="General" sourceLinked="1"/>
        <c:majorTickMark val="none"/>
        <c:tickLblPos val="nextTo"/>
        <c:crossAx val="173861120"/>
        <c:crosses val="autoZero"/>
        <c:auto val="1"/>
        <c:lblAlgn val="ctr"/>
        <c:lblOffset val="100"/>
      </c:catAx>
      <c:valAx>
        <c:axId val="173861120"/>
        <c:scaling>
          <c:orientation val="minMax"/>
        </c:scaling>
        <c:axPos val="l"/>
        <c:majorGridlines/>
        <c:numFmt formatCode="_-* #,##0\ _₽_-;\-* #,##0\ _₽_-;_-* &quot;-&quot;\ _₽_-;_-@_-" sourceLinked="1"/>
        <c:majorTickMark val="none"/>
        <c:tickLblPos val="nextTo"/>
        <c:crossAx val="173859584"/>
        <c:crosses val="autoZero"/>
        <c:crossBetween val="between"/>
      </c:valAx>
    </c:plotArea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7</xdr:row>
      <xdr:rowOff>28575</xdr:rowOff>
    </xdr:from>
    <xdr:to>
      <xdr:col>5</xdr:col>
      <xdr:colOff>57150</xdr:colOff>
      <xdr:row>19</xdr:row>
      <xdr:rowOff>28575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47625</xdr:colOff>
      <xdr:row>25</xdr:row>
      <xdr:rowOff>28575</xdr:rowOff>
    </xdr:from>
    <xdr:to>
      <xdr:col>5</xdr:col>
      <xdr:colOff>76200</xdr:colOff>
      <xdr:row>37</xdr:row>
      <xdr:rowOff>28575</xdr:rowOff>
    </xdr:to>
    <xdr:graphicFrame macro="">
      <xdr:nvGraphicFramePr>
        <xdr:cNvPr id="4" name="Диаграмма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44</xdr:row>
      <xdr:rowOff>76200</xdr:rowOff>
    </xdr:from>
    <xdr:to>
      <xdr:col>5</xdr:col>
      <xdr:colOff>180974</xdr:colOff>
      <xdr:row>57</xdr:row>
      <xdr:rowOff>114300</xdr:rowOff>
    </xdr:to>
    <xdr:graphicFrame macro="">
      <xdr:nvGraphicFramePr>
        <xdr:cNvPr id="5" name="Диаграмма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0"/>
  <sheetViews>
    <sheetView workbookViewId="0">
      <selection activeCell="B18" sqref="B18"/>
    </sheetView>
  </sheetViews>
  <sheetFormatPr defaultColWidth="46.28515625" defaultRowHeight="18"/>
  <cols>
    <col min="1" max="1" width="58.140625" style="3" customWidth="1"/>
    <col min="2" max="2" width="39.7109375" style="3" customWidth="1"/>
    <col min="3" max="3" width="44.5703125" style="3" customWidth="1"/>
    <col min="4" max="16384" width="46.28515625" style="3"/>
  </cols>
  <sheetData>
    <row r="1" spans="1:3">
      <c r="A1" s="68" t="s">
        <v>34</v>
      </c>
      <c r="B1" s="69"/>
      <c r="C1" s="70"/>
    </row>
    <row r="2" spans="1:3">
      <c r="B2" s="22" t="s">
        <v>20</v>
      </c>
    </row>
    <row r="3" spans="1:3">
      <c r="A3" s="38" t="s">
        <v>44</v>
      </c>
      <c r="B3" s="2">
        <v>2025</v>
      </c>
      <c r="C3" s="2">
        <v>2025</v>
      </c>
    </row>
    <row r="4" spans="1:3">
      <c r="A4" s="28" t="s">
        <v>10</v>
      </c>
      <c r="B4" s="2" t="s">
        <v>9</v>
      </c>
      <c r="C4" s="2" t="s">
        <v>8</v>
      </c>
    </row>
    <row r="5" spans="1:3">
      <c r="A5" s="17" t="s">
        <v>41</v>
      </c>
      <c r="B5" s="26">
        <v>5</v>
      </c>
      <c r="C5" s="2"/>
    </row>
    <row r="6" spans="1:3" ht="36.75" customHeight="1">
      <c r="A6" s="10" t="s">
        <v>39</v>
      </c>
      <c r="B6" s="26">
        <v>1</v>
      </c>
      <c r="C6" s="55"/>
    </row>
    <row r="7" spans="1:3">
      <c r="A7" s="7" t="s">
        <v>18</v>
      </c>
      <c r="B7" s="1">
        <v>18912</v>
      </c>
      <c r="C7" s="1">
        <v>690084</v>
      </c>
    </row>
    <row r="8" spans="1:3">
      <c r="A8" s="7" t="s">
        <v>19</v>
      </c>
      <c r="B8" s="1">
        <v>15966</v>
      </c>
      <c r="C8" s="1">
        <f>791856/1.2</f>
        <v>659880</v>
      </c>
    </row>
    <row r="9" spans="1:3">
      <c r="A9" s="29" t="s">
        <v>55</v>
      </c>
      <c r="B9" s="1">
        <f>335/0.17</f>
        <v>1970.5882352941176</v>
      </c>
      <c r="C9" s="1">
        <f>335/0.17</f>
        <v>1970.5882352941176</v>
      </c>
    </row>
    <row r="10" spans="1:3">
      <c r="A10" s="7" t="s">
        <v>23</v>
      </c>
      <c r="B10" s="1">
        <v>1085</v>
      </c>
      <c r="C10" s="1">
        <v>18953</v>
      </c>
    </row>
    <row r="11" spans="1:3">
      <c r="A11" s="7" t="s">
        <v>24</v>
      </c>
      <c r="B11" s="1">
        <v>0</v>
      </c>
      <c r="C11" s="1">
        <v>922</v>
      </c>
    </row>
    <row r="12" spans="1:3">
      <c r="A12" s="30"/>
      <c r="B12" s="15"/>
      <c r="C12" s="15"/>
    </row>
    <row r="13" spans="1:3">
      <c r="A13" s="66" t="s">
        <v>22</v>
      </c>
      <c r="B13" s="67"/>
      <c r="C13" s="67"/>
    </row>
    <row r="14" spans="1:3">
      <c r="A14" s="7" t="s">
        <v>21</v>
      </c>
      <c r="B14" s="1">
        <v>335</v>
      </c>
      <c r="C14" s="1">
        <f>C9*0.32</f>
        <v>630.58823529411768</v>
      </c>
    </row>
    <row r="16" spans="1:3">
      <c r="A16" s="44" t="s">
        <v>42</v>
      </c>
      <c r="B16" s="1">
        <v>1000000</v>
      </c>
    </row>
    <row r="17" spans="1:2">
      <c r="A17" s="5" t="s">
        <v>33</v>
      </c>
      <c r="B17" s="60">
        <f>B16/C7</f>
        <v>1.4490989502727205</v>
      </c>
    </row>
    <row r="18" spans="1:2">
      <c r="A18" s="7" t="s">
        <v>47</v>
      </c>
      <c r="B18" s="56">
        <v>5</v>
      </c>
    </row>
    <row r="19" spans="1:2" ht="36">
      <c r="A19" s="10" t="s">
        <v>43</v>
      </c>
      <c r="B19" s="26">
        <v>1</v>
      </c>
    </row>
    <row r="20" spans="1:2">
      <c r="A20" s="7" t="s">
        <v>67</v>
      </c>
      <c r="B20" s="61">
        <v>0</v>
      </c>
    </row>
  </sheetData>
  <mergeCells count="2">
    <mergeCell ref="A13:C13"/>
    <mergeCell ref="A1:C1"/>
  </mergeCells>
  <pageMargins left="0.31496062992125984" right="0.31496062992125984" top="0.35433070866141736" bottom="0.35433070866141736" header="0.31496062992125984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3"/>
  <sheetViews>
    <sheetView topLeftCell="A34" workbookViewId="0">
      <selection activeCell="A34" sqref="A1:XFD1048576"/>
    </sheetView>
  </sheetViews>
  <sheetFormatPr defaultRowHeight="18"/>
  <cols>
    <col min="1" max="1" width="12.5703125" style="45" customWidth="1"/>
    <col min="2" max="2" width="15.5703125" style="45" bestFit="1" customWidth="1"/>
    <col min="3" max="3" width="16.42578125" style="45" customWidth="1"/>
    <col min="4" max="4" width="11.42578125" style="45" customWidth="1"/>
    <col min="5" max="5" width="20" style="45" customWidth="1"/>
    <col min="6" max="16384" width="9.140625" style="45"/>
  </cols>
  <sheetData>
    <row r="1" spans="1:4">
      <c r="A1" s="51" t="s">
        <v>53</v>
      </c>
    </row>
    <row r="3" spans="1:4">
      <c r="B3" s="50" t="s">
        <v>51</v>
      </c>
      <c r="C3" s="50" t="s">
        <v>52</v>
      </c>
    </row>
    <row r="4" spans="1:4">
      <c r="A4" s="48" t="s">
        <v>48</v>
      </c>
      <c r="B4" s="49">
        <f>'2026'!$C$7</f>
        <v>709037</v>
      </c>
      <c r="C4" s="49">
        <f>'2026'!$J$5</f>
        <v>118560.33823529411</v>
      </c>
    </row>
    <row r="5" spans="1:4">
      <c r="A5" s="48" t="s">
        <v>49</v>
      </c>
      <c r="B5" s="49">
        <f>'2026'!$C$19</f>
        <v>19997</v>
      </c>
      <c r="C5" s="49">
        <f>'2026'!$J$17</f>
        <v>106407.55</v>
      </c>
    </row>
    <row r="6" spans="1:4">
      <c r="A6" s="48" t="s">
        <v>50</v>
      </c>
      <c r="B6" s="49">
        <f>'2026'!$C$26</f>
        <v>28977.631708603592</v>
      </c>
      <c r="C6" s="49">
        <f>'2026'!J65</f>
        <v>3513.1946426300369</v>
      </c>
      <c r="D6" s="52" t="s">
        <v>8</v>
      </c>
    </row>
    <row r="21" spans="1:5">
      <c r="B21" s="50" t="s">
        <v>51</v>
      </c>
      <c r="C21" s="50" t="s">
        <v>52</v>
      </c>
    </row>
    <row r="22" spans="1:5">
      <c r="A22" s="48" t="s">
        <v>48</v>
      </c>
      <c r="B22" s="49">
        <f>'2026'!$C$7</f>
        <v>709037</v>
      </c>
      <c r="C22" s="49">
        <f>'2026'!$J$5</f>
        <v>118560.33823529411</v>
      </c>
    </row>
    <row r="23" spans="1:5">
      <c r="A23" s="48" t="s">
        <v>49</v>
      </c>
      <c r="B23" s="49">
        <f>'2026'!$C$19</f>
        <v>19997</v>
      </c>
      <c r="C23" s="49">
        <f>'2026'!$J$17</f>
        <v>106407.55</v>
      </c>
    </row>
    <row r="24" spans="1:5">
      <c r="A24" s="48" t="s">
        <v>50</v>
      </c>
      <c r="B24" s="49">
        <f>'2026'!$C$26</f>
        <v>28977.631708603592</v>
      </c>
      <c r="C24" s="49">
        <f>IF('2026'!$C$34&gt;0,'2026'!J36,'2026'!J42)</f>
        <v>1147.7820091467129</v>
      </c>
      <c r="D24" s="53" t="str">
        <f>IF('2026'!$C$34&gt;0,"УСН+НДС 5%",IF('2026'!C40&gt;0,"УСН+НДС 7%",0))</f>
        <v>УСН+НДС 5%</v>
      </c>
      <c r="E24" s="52"/>
    </row>
    <row r="30" spans="1:5" ht="27" customHeight="1"/>
    <row r="34" spans="1:5" ht="27" customHeight="1"/>
    <row r="35" spans="1:5" ht="45.75" customHeight="1"/>
    <row r="36" spans="1:5" ht="45.75" customHeight="1"/>
    <row r="40" spans="1:5">
      <c r="B40" s="50" t="s">
        <v>51</v>
      </c>
      <c r="C40" s="50" t="s">
        <v>52</v>
      </c>
    </row>
    <row r="41" spans="1:5">
      <c r="A41" s="48" t="s">
        <v>48</v>
      </c>
      <c r="B41" s="49">
        <f>'2026'!$C$7</f>
        <v>709037</v>
      </c>
      <c r="C41" s="49">
        <f>'2026'!$J$5</f>
        <v>118560.33823529411</v>
      </c>
    </row>
    <row r="42" spans="1:5">
      <c r="A42" s="48" t="s">
        <v>49</v>
      </c>
      <c r="B42" s="49">
        <f>'2026'!$C$19</f>
        <v>19997</v>
      </c>
      <c r="C42" s="49">
        <f>'2026'!$J$17</f>
        <v>106407.55</v>
      </c>
    </row>
    <row r="43" spans="1:5">
      <c r="A43" s="48" t="s">
        <v>50</v>
      </c>
      <c r="B43" s="49">
        <f>'2026'!$C$26</f>
        <v>28977.631708603592</v>
      </c>
      <c r="C43" s="49">
        <f>IF('2026'!$C$46&gt;0,'2026'!J48,0)</f>
        <v>2344.9310689201693</v>
      </c>
      <c r="D43" s="53" t="str">
        <f>IF('2026'!$C$46&gt;0,"УСН+НДС 20%",0)</f>
        <v>УСН+НДС 20%</v>
      </c>
      <c r="E43" s="52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B1:L67"/>
  <sheetViews>
    <sheetView workbookViewId="0">
      <selection activeCell="C2" sqref="C2"/>
    </sheetView>
  </sheetViews>
  <sheetFormatPr defaultColWidth="17.5703125" defaultRowHeight="18"/>
  <cols>
    <col min="1" max="1" width="3" style="3" customWidth="1"/>
    <col min="2" max="2" width="41.85546875" style="3" customWidth="1"/>
    <col min="3" max="5" width="21.5703125" style="3" customWidth="1"/>
    <col min="6" max="6" width="21.42578125" style="3" customWidth="1"/>
    <col min="7" max="7" width="17.85546875" style="3" customWidth="1"/>
    <col min="8" max="8" width="20.28515625" style="3" customWidth="1"/>
    <col min="9" max="9" width="16.5703125" style="3" customWidth="1"/>
    <col min="10" max="10" width="21" style="3" customWidth="1"/>
    <col min="11" max="16384" width="17.5703125" style="3"/>
  </cols>
  <sheetData>
    <row r="1" spans="2:12">
      <c r="B1" s="27" t="s">
        <v>0</v>
      </c>
      <c r="C1" s="4">
        <f>ввод!C3</f>
        <v>2025</v>
      </c>
      <c r="G1" s="34"/>
      <c r="H1" s="34"/>
    </row>
    <row r="2" spans="2:12">
      <c r="B2" s="17" t="s">
        <v>10</v>
      </c>
      <c r="C2" s="4" t="s">
        <v>8</v>
      </c>
    </row>
    <row r="3" spans="2:12">
      <c r="B3" s="36" t="s">
        <v>38</v>
      </c>
      <c r="C3" s="43">
        <v>5</v>
      </c>
      <c r="D3" s="71" t="s">
        <v>40</v>
      </c>
      <c r="E3" s="72"/>
      <c r="F3" s="73"/>
      <c r="G3" s="73"/>
      <c r="H3" s="43">
        <f>ввод!C6</f>
        <v>0</v>
      </c>
    </row>
    <row r="4" spans="2:12" ht="36">
      <c r="B4" s="8" t="s">
        <v>36</v>
      </c>
      <c r="C4" s="7" t="s">
        <v>2</v>
      </c>
      <c r="D4" s="8" t="s">
        <v>4</v>
      </c>
      <c r="E4" s="8"/>
      <c r="F4" s="9" t="s">
        <v>3</v>
      </c>
      <c r="G4" s="8" t="s">
        <v>6</v>
      </c>
      <c r="H4" s="8" t="s">
        <v>7</v>
      </c>
      <c r="I4" s="10" t="s">
        <v>5</v>
      </c>
      <c r="J4" s="7" t="s">
        <v>1</v>
      </c>
      <c r="K4" s="8" t="s">
        <v>11</v>
      </c>
      <c r="L4" s="12">
        <f>IF($C$14="УСН",IF($H$15&gt;0,$C$21*$C$15/100,$C$19*$C$15/100),0)</f>
        <v>201.55</v>
      </c>
    </row>
    <row r="5" spans="2:12" ht="36">
      <c r="B5" s="31" t="s">
        <v>32</v>
      </c>
      <c r="C5" s="11">
        <f>ввод!C7</f>
        <v>690084</v>
      </c>
      <c r="D5" s="62">
        <v>145258</v>
      </c>
      <c r="E5" s="11"/>
      <c r="F5" s="11">
        <f>D5-D6</f>
        <v>105871</v>
      </c>
      <c r="G5" s="11">
        <f>IF($C$2="ОСН",MAX(C10*0.25,0),0)</f>
        <v>12058.75</v>
      </c>
      <c r="H5" s="12">
        <f>IF(C2="УСН",(IF($H$15&lt;1,(IF($L$16/2&gt;=$I$17,$L$16-$I$17,$L$16/2)),$L$16)),0)</f>
        <v>0</v>
      </c>
      <c r="I5" s="11">
        <f>ввод!C14</f>
        <v>630.58823529411768</v>
      </c>
      <c r="J5" s="13">
        <f>SUM(F5:I5)</f>
        <v>118560.33823529411</v>
      </c>
      <c r="K5" s="14">
        <f>J5/C5</f>
        <v>0.17180566168074338</v>
      </c>
      <c r="L5" s="7"/>
    </row>
    <row r="6" spans="2:12">
      <c r="B6" s="31" t="s">
        <v>28</v>
      </c>
      <c r="C6" s="11">
        <f>39387*5</f>
        <v>196935</v>
      </c>
      <c r="D6" s="62">
        <v>39387</v>
      </c>
      <c r="E6" s="15"/>
      <c r="F6" s="15"/>
      <c r="G6" s="16"/>
      <c r="H6" s="16"/>
      <c r="I6" s="16"/>
      <c r="J6" s="16"/>
    </row>
    <row r="7" spans="2:12">
      <c r="B7" s="17" t="s">
        <v>25</v>
      </c>
      <c r="C7" s="18">
        <f>ввод!$C$7+ввод!$C$10</f>
        <v>709037</v>
      </c>
      <c r="D7" s="15"/>
      <c r="E7" s="62" t="s">
        <v>68</v>
      </c>
      <c r="F7" s="62">
        <v>105871</v>
      </c>
      <c r="G7" s="63">
        <v>0</v>
      </c>
      <c r="H7" s="64">
        <v>202</v>
      </c>
      <c r="I7" s="63">
        <v>335</v>
      </c>
      <c r="J7" s="47">
        <f>SUM(F7:I7)</f>
        <v>106408</v>
      </c>
      <c r="K7" s="14">
        <f>J7/C5</f>
        <v>0.15419572110061963</v>
      </c>
    </row>
    <row r="8" spans="2:12">
      <c r="B8" s="7" t="s">
        <v>26</v>
      </c>
      <c r="C8" s="11">
        <f>ввод!$C$8+ввод!$C$11</f>
        <v>660802</v>
      </c>
      <c r="D8" s="15"/>
      <c r="E8" s="15"/>
      <c r="F8" s="15"/>
      <c r="G8" s="16"/>
      <c r="H8" s="16"/>
      <c r="I8" s="16"/>
      <c r="J8" s="16"/>
    </row>
    <row r="9" spans="2:12">
      <c r="B9" s="7" t="s">
        <v>70</v>
      </c>
      <c r="C9" s="11">
        <f>C8-196935</f>
        <v>463867</v>
      </c>
      <c r="D9" s="15"/>
      <c r="E9" s="15"/>
      <c r="F9" s="15"/>
      <c r="G9" s="16"/>
      <c r="H9" s="16"/>
      <c r="I9" s="16"/>
      <c r="J9" s="16"/>
    </row>
    <row r="10" spans="2:12">
      <c r="B10" s="7" t="s">
        <v>30</v>
      </c>
      <c r="C10" s="12">
        <f>C7-C8</f>
        <v>48235</v>
      </c>
    </row>
    <row r="11" spans="2:12" ht="6.75" customHeight="1"/>
    <row r="12" spans="2:12" ht="6.75" customHeight="1"/>
    <row r="13" spans="2:12">
      <c r="B13" s="27" t="s">
        <v>0</v>
      </c>
      <c r="C13" s="4">
        <f>ввод!B3</f>
        <v>2025</v>
      </c>
      <c r="D13" s="3" t="s">
        <v>69</v>
      </c>
      <c r="G13" s="34"/>
      <c r="H13" s="34"/>
    </row>
    <row r="14" spans="2:12">
      <c r="B14" s="17" t="s">
        <v>10</v>
      </c>
      <c r="C14" s="4" t="str">
        <f>ввод!B4</f>
        <v>УСН</v>
      </c>
    </row>
    <row r="15" spans="2:12">
      <c r="B15" s="36" t="s">
        <v>38</v>
      </c>
      <c r="C15" s="43">
        <f>IF($C$14="УСН",ввод!B5,0)</f>
        <v>5</v>
      </c>
      <c r="D15" s="71" t="s">
        <v>40</v>
      </c>
      <c r="E15" s="72"/>
      <c r="F15" s="73"/>
      <c r="G15" s="73"/>
      <c r="H15" s="43">
        <f>IF($C$14="УСН",ввод!B6,0)</f>
        <v>1</v>
      </c>
    </row>
    <row r="16" spans="2:12" ht="36">
      <c r="B16" s="8" t="s">
        <v>36</v>
      </c>
      <c r="C16" s="7" t="s">
        <v>2</v>
      </c>
      <c r="D16" s="8" t="s">
        <v>4</v>
      </c>
      <c r="E16" s="8"/>
      <c r="F16" s="9" t="s">
        <v>3</v>
      </c>
      <c r="G16" s="8" t="s">
        <v>6</v>
      </c>
      <c r="H16" s="8" t="s">
        <v>7</v>
      </c>
      <c r="I16" s="10" t="s">
        <v>5</v>
      </c>
      <c r="J16" s="7" t="s">
        <v>1</v>
      </c>
      <c r="K16" s="8" t="s">
        <v>11</v>
      </c>
      <c r="L16" s="12">
        <f>IF($C$14="УСН",IF($H$15&gt;0,$C$21*$C$15/100,$C$19*$C$15/100),0)</f>
        <v>201.55</v>
      </c>
    </row>
    <row r="17" spans="2:12" ht="36">
      <c r="B17" s="31" t="s">
        <v>32</v>
      </c>
      <c r="C17" s="11">
        <f>ввод!$B$7</f>
        <v>18912</v>
      </c>
      <c r="D17" s="62">
        <v>145258</v>
      </c>
      <c r="E17" s="11"/>
      <c r="F17" s="11">
        <f>D17-D18</f>
        <v>105871</v>
      </c>
      <c r="G17" s="11">
        <f>IF($C$14="ОСН",MAX((C19-C20)*0.2,0),0)</f>
        <v>0</v>
      </c>
      <c r="H17" s="12">
        <f>IF(C14="УСН",(IF($H$15&lt;1,(IF($L$16/2&gt;=$I$17,$L$16-$I$17,$L$16/2)),$L$16)),0)</f>
        <v>201.55</v>
      </c>
      <c r="I17" s="11">
        <f>ввод!B14</f>
        <v>335</v>
      </c>
      <c r="J17" s="13">
        <f>SUM(F17:I17)</f>
        <v>106407.55</v>
      </c>
      <c r="K17" s="14">
        <f>J17/C17</f>
        <v>5.6264567470389171</v>
      </c>
      <c r="L17" s="7"/>
    </row>
    <row r="18" spans="2:12">
      <c r="B18" s="31" t="s">
        <v>28</v>
      </c>
      <c r="C18" s="11">
        <f>ввод!$B$8-ввод!$B$9</f>
        <v>13995.411764705883</v>
      </c>
      <c r="D18" s="62">
        <v>39387</v>
      </c>
      <c r="E18" s="15"/>
      <c r="F18" s="15"/>
      <c r="G18" s="16"/>
      <c r="H18" s="16"/>
      <c r="I18" s="16"/>
      <c r="J18" s="16"/>
    </row>
    <row r="19" spans="2:12">
      <c r="B19" s="17" t="s">
        <v>25</v>
      </c>
      <c r="C19" s="18">
        <f>ввод!$B$7+ввод!$B$10</f>
        <v>19997</v>
      </c>
      <c r="D19" s="15"/>
      <c r="E19" s="15"/>
      <c r="F19" s="15"/>
      <c r="G19" s="16"/>
      <c r="H19" s="16"/>
      <c r="I19" s="16"/>
      <c r="J19" s="16"/>
    </row>
    <row r="20" spans="2:12">
      <c r="B20" s="7" t="s">
        <v>26</v>
      </c>
      <c r="C20" s="11">
        <f>ввод!$B$8+ввод!$B$11</f>
        <v>15966</v>
      </c>
      <c r="D20" s="15"/>
      <c r="E20" s="15"/>
      <c r="F20" s="15"/>
      <c r="G20" s="16"/>
      <c r="H20" s="16"/>
      <c r="I20" s="16"/>
      <c r="J20" s="16"/>
    </row>
    <row r="21" spans="2:12">
      <c r="B21" s="7" t="s">
        <v>30</v>
      </c>
      <c r="C21" s="12">
        <f>C19-C20</f>
        <v>4031</v>
      </c>
    </row>
    <row r="22" spans="2:12">
      <c r="B22" s="36"/>
      <c r="C22" s="37"/>
    </row>
    <row r="23" spans="2:12" ht="36">
      <c r="B23" s="46" t="s">
        <v>37</v>
      </c>
      <c r="C23" s="7" t="s">
        <v>2</v>
      </c>
      <c r="D23" s="39"/>
      <c r="E23" s="39"/>
      <c r="F23" s="40"/>
      <c r="G23" s="39"/>
      <c r="H23" s="39"/>
      <c r="I23" s="41"/>
      <c r="J23" s="34"/>
      <c r="K23" s="39"/>
    </row>
    <row r="24" spans="2:12" ht="52.5" customHeight="1">
      <c r="B24" s="31" t="s">
        <v>32</v>
      </c>
      <c r="C24" s="11">
        <f>C17*$G$30</f>
        <v>27405.359347557689</v>
      </c>
      <c r="D24" s="15"/>
      <c r="E24" s="15"/>
      <c r="F24" s="15"/>
      <c r="G24" s="15"/>
      <c r="H24" s="15"/>
      <c r="I24" s="15"/>
      <c r="J24" s="15"/>
      <c r="K24" s="42"/>
    </row>
    <row r="25" spans="2:12" ht="43.5" customHeight="1">
      <c r="B25" s="31" t="s">
        <v>64</v>
      </c>
      <c r="C25" s="11">
        <f t="shared" ref="C25:C28" si="0">C18*$G$30</f>
        <v>20280.736496869777</v>
      </c>
      <c r="D25" s="15"/>
      <c r="E25" s="15"/>
      <c r="F25" s="15"/>
      <c r="G25" s="15"/>
      <c r="H25" s="15"/>
      <c r="I25" s="15"/>
      <c r="J25" s="15"/>
      <c r="K25" s="34"/>
    </row>
    <row r="26" spans="2:12">
      <c r="B26" s="17" t="s">
        <v>25</v>
      </c>
      <c r="C26" s="11">
        <f t="shared" si="0"/>
        <v>28977.631708603592</v>
      </c>
      <c r="D26" s="15"/>
      <c r="E26" s="15"/>
      <c r="F26" s="15"/>
      <c r="G26" s="16"/>
      <c r="H26" s="16"/>
      <c r="I26" s="16"/>
      <c r="J26" s="16"/>
    </row>
    <row r="27" spans="2:12">
      <c r="B27" s="7" t="s">
        <v>26</v>
      </c>
      <c r="C27" s="11">
        <f t="shared" si="0"/>
        <v>23136.313840054256</v>
      </c>
      <c r="D27" s="15" t="s">
        <v>45</v>
      </c>
      <c r="E27" s="15"/>
      <c r="F27" s="11">
        <f>ввод!B14*ввод!B17</f>
        <v>485.44814834136139</v>
      </c>
      <c r="G27" s="16"/>
      <c r="H27" s="16"/>
      <c r="I27" s="16"/>
      <c r="J27" s="16"/>
    </row>
    <row r="28" spans="2:12">
      <c r="B28" s="7" t="s">
        <v>30</v>
      </c>
      <c r="C28" s="47">
        <f t="shared" si="0"/>
        <v>5841.3178685493367</v>
      </c>
      <c r="I28" s="5" t="s">
        <v>58</v>
      </c>
      <c r="J28" s="58">
        <v>490500</v>
      </c>
    </row>
    <row r="29" spans="2:12">
      <c r="I29" s="5" t="s">
        <v>57</v>
      </c>
      <c r="J29" s="58">
        <v>272500</v>
      </c>
    </row>
    <row r="30" spans="2:12">
      <c r="B30" s="19" t="s">
        <v>12</v>
      </c>
      <c r="C30" s="20">
        <f>C13+1</f>
        <v>2026</v>
      </c>
      <c r="D30" s="3" t="s">
        <v>35</v>
      </c>
      <c r="G30" s="35">
        <f>ввод!B17</f>
        <v>1.4490989502727205</v>
      </c>
      <c r="I30" s="59" t="s">
        <v>56</v>
      </c>
      <c r="J30" s="58">
        <v>20000</v>
      </c>
    </row>
    <row r="31" spans="2:12">
      <c r="B31" s="21"/>
      <c r="C31" s="21"/>
      <c r="J31" s="33"/>
      <c r="K31" s="34"/>
    </row>
    <row r="32" spans="2:12">
      <c r="B32" s="6" t="s">
        <v>10</v>
      </c>
      <c r="C32" s="4" t="s">
        <v>9</v>
      </c>
      <c r="D32" s="22" t="s">
        <v>59</v>
      </c>
      <c r="E32" s="22"/>
      <c r="F32" s="23" t="s">
        <v>17</v>
      </c>
      <c r="G32" s="6" t="s">
        <v>46</v>
      </c>
      <c r="H32" s="74" t="str">
        <f>IF(ввод!$B$19&gt;0,"Доходы минус расходы","Доходы")</f>
        <v>Доходы минус расходы</v>
      </c>
      <c r="I32" s="75"/>
      <c r="J32" s="3" t="s">
        <v>31</v>
      </c>
      <c r="K32" s="5">
        <f>ввод!B18</f>
        <v>5</v>
      </c>
      <c r="L32" s="54">
        <f>IF(ввод!$B$19&gt;0,1,0)</f>
        <v>1</v>
      </c>
    </row>
    <row r="33" spans="2:12">
      <c r="B33" s="24" t="s">
        <v>13</v>
      </c>
    </row>
    <row r="34" spans="2:12">
      <c r="B34" s="7" t="s">
        <v>14</v>
      </c>
      <c r="C34" s="25">
        <f>IF($C$32="УСН",(IF($C$26&gt;$J$30,IF($C$26&lt;=$J$29,1,0),0)),0)</f>
        <v>1</v>
      </c>
      <c r="D34" s="7" t="s">
        <v>29</v>
      </c>
      <c r="E34" s="30"/>
    </row>
    <row r="35" spans="2:12" ht="36">
      <c r="C35" s="7" t="s">
        <v>2</v>
      </c>
      <c r="D35" s="8" t="s">
        <v>4</v>
      </c>
      <c r="E35" s="8" t="s">
        <v>65</v>
      </c>
      <c r="F35" s="9" t="s">
        <v>3</v>
      </c>
      <c r="G35" s="8" t="s">
        <v>6</v>
      </c>
      <c r="H35" s="8" t="s">
        <v>7</v>
      </c>
      <c r="I35" s="10" t="s">
        <v>5</v>
      </c>
      <c r="J35" s="7" t="s">
        <v>1</v>
      </c>
      <c r="K35" s="8" t="s">
        <v>11</v>
      </c>
      <c r="L35" s="12">
        <f>IF($C34&gt;0,IF($L$32&gt;0,$C$28*$K$32/100,$C$26*$K$32/100),0)</f>
        <v>292.06589342746685</v>
      </c>
    </row>
    <row r="36" spans="2:12">
      <c r="B36" s="7" t="s">
        <v>27</v>
      </c>
      <c r="C36" s="11">
        <f>IF($C$34&gt;0,C$24,0)</f>
        <v>27405.359347557689</v>
      </c>
      <c r="D36" s="11">
        <f>IF(C34&gt;0,(C36-J30)*5/100,0)</f>
        <v>370.26796737788447</v>
      </c>
      <c r="E36" s="11">
        <f>IF(ввод!$B$20&gt;0,IF(C34&gt;0,$C$25*0.22,0),0)</f>
        <v>0</v>
      </c>
      <c r="F36" s="11">
        <f>D36-D37+E36</f>
        <v>370.26796737788447</v>
      </c>
      <c r="G36" s="11">
        <v>0</v>
      </c>
      <c r="H36" s="12">
        <f>IF($L$32&lt;1,(IF($L$35/2&gt;=$I36,$L35-$I36,$L35/2)),$L35)</f>
        <v>292.06589342746685</v>
      </c>
      <c r="I36" s="11">
        <f>IF($C$34&gt;0,$F$27,0)</f>
        <v>485.44814834136139</v>
      </c>
      <c r="J36" s="13">
        <f>SUM(F36:I36)</f>
        <v>1147.7820091467129</v>
      </c>
      <c r="K36" s="14">
        <f>IF(C36&lt;&gt;0,J36/C36,0)</f>
        <v>4.1881662436548235E-2</v>
      </c>
    </row>
    <row r="37" spans="2:12">
      <c r="B37" s="7" t="s">
        <v>66</v>
      </c>
      <c r="C37" s="11">
        <f>IF($C$34&gt;0,C$27,0)</f>
        <v>23136.313840054256</v>
      </c>
      <c r="D37" s="11">
        <v>0</v>
      </c>
      <c r="E37" s="15"/>
      <c r="F37" s="15"/>
      <c r="G37" s="16"/>
      <c r="H37" s="16"/>
      <c r="I37" s="16"/>
      <c r="J37" s="16"/>
    </row>
    <row r="39" spans="2:12" ht="37.5" customHeight="1">
      <c r="B39" s="24" t="s">
        <v>15</v>
      </c>
    </row>
    <row r="40" spans="2:12">
      <c r="B40" s="7" t="s">
        <v>14</v>
      </c>
      <c r="C40" s="25">
        <f>IF($C$32="УСН",(IF($C$26&gt;J29,IF($C$26&lt;=J28,1,0),0)),0)</f>
        <v>0</v>
      </c>
      <c r="D40" s="7" t="s">
        <v>29</v>
      </c>
      <c r="E40" s="30"/>
    </row>
    <row r="41" spans="2:12" ht="36">
      <c r="C41" s="7" t="s">
        <v>2</v>
      </c>
      <c r="D41" s="8" t="s">
        <v>4</v>
      </c>
      <c r="E41" s="8" t="s">
        <v>65</v>
      </c>
      <c r="F41" s="9" t="s">
        <v>3</v>
      </c>
      <c r="G41" s="8" t="s">
        <v>6</v>
      </c>
      <c r="H41" s="8" t="s">
        <v>7</v>
      </c>
      <c r="I41" s="10" t="s">
        <v>5</v>
      </c>
      <c r="J41" s="7" t="s">
        <v>1</v>
      </c>
      <c r="K41" s="8" t="s">
        <v>11</v>
      </c>
      <c r="L41" s="12">
        <f>IF($C40&gt;0,IF($L$32&gt;0,$C$28*$K$32/100,$C$26*$K$32/100),0)</f>
        <v>0</v>
      </c>
    </row>
    <row r="42" spans="2:12">
      <c r="B42" s="7" t="s">
        <v>27</v>
      </c>
      <c r="C42" s="11">
        <f>IF($C$40&gt;0,C$24,0)</f>
        <v>0</v>
      </c>
      <c r="D42" s="11">
        <f>IF(C40&gt;0,( (C42-J29)*7/100+(J29-J30)*5/100),0)</f>
        <v>0</v>
      </c>
      <c r="E42" s="11">
        <f>IF(ввод!$B$20&gt;0,IF(C40&gt;0,$C$25*0.22,0),0)</f>
        <v>0</v>
      </c>
      <c r="F42" s="11">
        <f>D42-D43+E42</f>
        <v>0</v>
      </c>
      <c r="G42" s="11">
        <v>0</v>
      </c>
      <c r="H42" s="12">
        <f>IF($L$32&lt;1,(IF($L41/2&gt;=$I42,$L41-$I42,$L41/2)),$L41)</f>
        <v>0</v>
      </c>
      <c r="I42" s="11">
        <f>IF($C$40&gt;0,$F$27,0)</f>
        <v>0</v>
      </c>
      <c r="J42" s="13">
        <f>SUM(F42:I42)</f>
        <v>0</v>
      </c>
      <c r="K42" s="14">
        <f>IF(C42&lt;&gt;0,J42/C42,0)</f>
        <v>0</v>
      </c>
    </row>
    <row r="43" spans="2:12">
      <c r="B43" s="7" t="s">
        <v>28</v>
      </c>
      <c r="C43" s="11"/>
      <c r="D43" s="11">
        <v>0</v>
      </c>
      <c r="E43" s="15"/>
      <c r="F43" s="15"/>
      <c r="G43" s="16"/>
      <c r="H43" s="16"/>
      <c r="I43" s="16"/>
      <c r="J43" s="16"/>
    </row>
    <row r="45" spans="2:12">
      <c r="B45" s="24" t="s">
        <v>54</v>
      </c>
    </row>
    <row r="46" spans="2:12">
      <c r="B46" s="7" t="s">
        <v>14</v>
      </c>
      <c r="C46" s="25">
        <f>IF($C$32="УСН",(IF($C$26&gt;$J$30,IF($C$26&lt;=$J$28,1,0),0)),0)</f>
        <v>1</v>
      </c>
      <c r="D46" s="7" t="s">
        <v>29</v>
      </c>
      <c r="E46" s="30"/>
    </row>
    <row r="47" spans="2:12" ht="45.75" customHeight="1">
      <c r="C47" s="7" t="s">
        <v>2</v>
      </c>
      <c r="D47" s="8" t="s">
        <v>4</v>
      </c>
      <c r="E47" s="8" t="s">
        <v>65</v>
      </c>
      <c r="F47" s="9" t="s">
        <v>3</v>
      </c>
      <c r="G47" s="8" t="s">
        <v>6</v>
      </c>
      <c r="H47" s="8" t="s">
        <v>7</v>
      </c>
      <c r="I47" s="10" t="s">
        <v>5</v>
      </c>
      <c r="J47" s="7" t="s">
        <v>1</v>
      </c>
      <c r="K47" s="8" t="s">
        <v>11</v>
      </c>
      <c r="L47" s="12">
        <f>IF($C46&gt;0,IF($L$32&gt;0,$C$28*$K$32/100,$C$26*$K$32/100),0)</f>
        <v>292.06589342746685</v>
      </c>
    </row>
    <row r="48" spans="2:12" ht="29.25" customHeight="1">
      <c r="B48" s="7" t="s">
        <v>27</v>
      </c>
      <c r="C48" s="11">
        <f>IF($C$46&gt;0,C$24,0)</f>
        <v>27405.359347557689</v>
      </c>
      <c r="D48" s="11">
        <f>C48*0.22</f>
        <v>6029.1790564626917</v>
      </c>
      <c r="E48" s="11">
        <f>IF(ввод!$B$20&gt;0,IF(C46&gt;0,$C$25*0.22,0),0)</f>
        <v>0</v>
      </c>
      <c r="F48" s="11">
        <f>D48-D49+E48</f>
        <v>1567.4170271513412</v>
      </c>
      <c r="G48" s="11">
        <v>0</v>
      </c>
      <c r="H48" s="12">
        <f>IF($L$32&lt;1,(IF($L47/2&gt;=$I48,$L47-$I48,$L47/2)),$L47)</f>
        <v>292.06589342746685</v>
      </c>
      <c r="I48" s="11">
        <f>IF($C$46&gt;0,$F$27,0)</f>
        <v>485.44814834136139</v>
      </c>
      <c r="J48" s="13">
        <f>SUM(F48:I48)</f>
        <v>2344.9310689201693</v>
      </c>
      <c r="K48" s="14">
        <f>IF(C48&lt;&gt;0,J48/C48,0)</f>
        <v>8.5564689708370667E-2</v>
      </c>
    </row>
    <row r="49" spans="2:12" ht="24" customHeight="1">
      <c r="B49" s="7" t="s">
        <v>28</v>
      </c>
      <c r="C49" s="11">
        <f>IF($C$46&gt;0,C$25,0)</f>
        <v>20280.736496869777</v>
      </c>
      <c r="D49" s="11">
        <f>C49*0.22</f>
        <v>4461.7620293113505</v>
      </c>
      <c r="E49" s="15"/>
      <c r="F49" s="15"/>
      <c r="G49" s="16"/>
      <c r="H49" s="16"/>
      <c r="I49" s="16"/>
      <c r="J49" s="16"/>
    </row>
    <row r="51" spans="2:12">
      <c r="B51" s="24" t="s">
        <v>60</v>
      </c>
    </row>
    <row r="52" spans="2:12">
      <c r="B52" s="7" t="s">
        <v>14</v>
      </c>
      <c r="C52" s="25">
        <f>IF($C$26&lt;=60000,1,0)</f>
        <v>1</v>
      </c>
      <c r="D52" s="7" t="s">
        <v>29</v>
      </c>
      <c r="E52" s="30"/>
    </row>
    <row r="53" spans="2:12" ht="45.75" customHeight="1">
      <c r="C53" s="7" t="s">
        <v>2</v>
      </c>
      <c r="D53" s="8" t="s">
        <v>4</v>
      </c>
      <c r="E53" s="8" t="s">
        <v>65</v>
      </c>
      <c r="F53" s="9" t="s">
        <v>3</v>
      </c>
      <c r="G53" s="8" t="s">
        <v>6</v>
      </c>
      <c r="H53" s="8" t="s">
        <v>7</v>
      </c>
      <c r="I53" s="10" t="s">
        <v>5</v>
      </c>
      <c r="J53" s="7" t="s">
        <v>1</v>
      </c>
      <c r="K53" s="8" t="s">
        <v>11</v>
      </c>
      <c r="L53" s="12">
        <f>IF($C52&gt;0,IF($L$32&gt;0,$C$28*$K$32/100,$C$26*$K$32/100),0)</f>
        <v>292.06589342746685</v>
      </c>
    </row>
    <row r="54" spans="2:12">
      <c r="B54" s="7" t="s">
        <v>63</v>
      </c>
      <c r="C54" s="11">
        <f>IF($C$52&gt;0,C$26,0)</f>
        <v>28977.631708603592</v>
      </c>
      <c r="D54" s="11">
        <v>0</v>
      </c>
      <c r="E54" s="11">
        <f>IF(ввод!$B$20&gt;0,IF(C52&gt;0,$C$25*0.22,0),0)</f>
        <v>0</v>
      </c>
      <c r="F54" s="11">
        <f>D54-D55+E54</f>
        <v>0</v>
      </c>
      <c r="G54" s="11">
        <v>0</v>
      </c>
      <c r="H54" s="12">
        <f>C54*8/100</f>
        <v>2318.2105366882874</v>
      </c>
      <c r="I54" s="11">
        <v>0</v>
      </c>
      <c r="J54" s="13">
        <f>SUM(F54:I54)</f>
        <v>2318.2105366882874</v>
      </c>
      <c r="K54" s="14">
        <f>IF(C54&lt;&gt;0,J54/C54,0)</f>
        <v>0.08</v>
      </c>
    </row>
    <row r="55" spans="2:12">
      <c r="B55" s="7" t="s">
        <v>62</v>
      </c>
      <c r="C55" s="11">
        <v>0</v>
      </c>
      <c r="D55" s="11">
        <v>0</v>
      </c>
      <c r="E55" s="15"/>
      <c r="F55" s="15"/>
      <c r="G55" s="16"/>
      <c r="H55" s="16"/>
      <c r="I55" s="16"/>
      <c r="J55" s="16"/>
    </row>
    <row r="57" spans="2:12">
      <c r="B57" s="24" t="s">
        <v>61</v>
      </c>
    </row>
    <row r="58" spans="2:12">
      <c r="B58" s="7" t="s">
        <v>14</v>
      </c>
      <c r="C58" s="25">
        <f>IF($C$26&lt;=60000,1,0)</f>
        <v>1</v>
      </c>
      <c r="D58" s="7" t="s">
        <v>29</v>
      </c>
      <c r="E58" s="30"/>
    </row>
    <row r="59" spans="2:12" ht="36">
      <c r="C59" s="7" t="s">
        <v>2</v>
      </c>
      <c r="D59" s="8" t="s">
        <v>4</v>
      </c>
      <c r="E59" s="8" t="s">
        <v>65</v>
      </c>
      <c r="F59" s="9" t="s">
        <v>3</v>
      </c>
      <c r="G59" s="8" t="s">
        <v>6</v>
      </c>
      <c r="H59" s="8" t="s">
        <v>7</v>
      </c>
      <c r="I59" s="10" t="s">
        <v>5</v>
      </c>
      <c r="J59" s="7" t="s">
        <v>1</v>
      </c>
      <c r="K59" s="8" t="s">
        <v>11</v>
      </c>
      <c r="L59" s="12">
        <f>IF($C58&gt;0,(C60-C61)/5,0)</f>
        <v>1168.2635737098674</v>
      </c>
    </row>
    <row r="60" spans="2:12">
      <c r="B60" s="7" t="s">
        <v>63</v>
      </c>
      <c r="C60" s="11">
        <f>IF($C$58&gt;0,C$26,0)</f>
        <v>28977.631708603592</v>
      </c>
      <c r="D60" s="11">
        <v>0</v>
      </c>
      <c r="E60" s="11">
        <f>IF(ввод!$B$20&gt;0,IF(C58&gt;0,$C$25*0.22,0),0)</f>
        <v>0</v>
      </c>
      <c r="F60" s="11">
        <f>D60-D61+E60</f>
        <v>0</v>
      </c>
      <c r="G60" s="11">
        <v>0</v>
      </c>
      <c r="H60" s="12">
        <f>MAX(C60*3/100,$L59)</f>
        <v>1168.2635737098674</v>
      </c>
      <c r="I60" s="11">
        <v>0</v>
      </c>
      <c r="J60" s="13">
        <f>SUM(F60:I60)</f>
        <v>1168.2635737098674</v>
      </c>
      <c r="K60" s="14">
        <f>IF(C60&lt;&gt;0,J60/C60,0)</f>
        <v>4.0316047407111068E-2</v>
      </c>
    </row>
    <row r="61" spans="2:12">
      <c r="B61" s="7" t="s">
        <v>62</v>
      </c>
      <c r="C61" s="11">
        <f>IF($C$58&gt;0,C$27+E60,0)</f>
        <v>23136.313840054256</v>
      </c>
      <c r="D61" s="11">
        <v>0</v>
      </c>
      <c r="E61" s="15"/>
      <c r="F61" s="15"/>
      <c r="G61" s="16"/>
      <c r="H61" s="16"/>
      <c r="I61" s="16"/>
      <c r="J61" s="16"/>
    </row>
    <row r="63" spans="2:12">
      <c r="B63" s="32" t="s">
        <v>16</v>
      </c>
      <c r="C63" s="7">
        <v>1</v>
      </c>
    </row>
    <row r="64" spans="2:12" ht="36">
      <c r="C64" s="7" t="s">
        <v>2</v>
      </c>
      <c r="D64" s="8" t="s">
        <v>4</v>
      </c>
      <c r="E64" s="8" t="s">
        <v>65</v>
      </c>
      <c r="F64" s="9" t="s">
        <v>3</v>
      </c>
      <c r="G64" s="8" t="s">
        <v>6</v>
      </c>
      <c r="H64" s="8" t="s">
        <v>7</v>
      </c>
      <c r="I64" s="10" t="s">
        <v>5</v>
      </c>
      <c r="J64" s="7" t="s">
        <v>1</v>
      </c>
      <c r="K64" s="8" t="s">
        <v>11</v>
      </c>
    </row>
    <row r="65" spans="2:11" ht="26.25" customHeight="1">
      <c r="B65" s="7" t="s">
        <v>27</v>
      </c>
      <c r="C65" s="11">
        <f>C$24</f>
        <v>27405.359347557689</v>
      </c>
      <c r="D65" s="11">
        <f>C65*0.22</f>
        <v>6029.1790564626917</v>
      </c>
      <c r="E65" s="11">
        <f>IF(ввод!$B$20&gt;0,IF(C63&gt;0,$C$25*0.22,0),0)</f>
        <v>0</v>
      </c>
      <c r="F65" s="11">
        <f>D65-D66+E65</f>
        <v>1567.4170271513412</v>
      </c>
      <c r="G65" s="11">
        <f>MAX(C67*0.25,0)</f>
        <v>1460.3294671373342</v>
      </c>
      <c r="H65" s="11">
        <v>0</v>
      </c>
      <c r="I65" s="11">
        <f>F27</f>
        <v>485.44814834136139</v>
      </c>
      <c r="J65" s="13">
        <f>SUM(F65:I65)</f>
        <v>3513.1946426300369</v>
      </c>
      <c r="K65" s="14">
        <f>IF(C65&lt;&gt;0,J65/C65,0)</f>
        <v>0.12819370832089183</v>
      </c>
    </row>
    <row r="66" spans="2:11" ht="21" customHeight="1">
      <c r="B66" s="7" t="s">
        <v>28</v>
      </c>
      <c r="C66" s="11">
        <f>C$25</f>
        <v>20280.736496869777</v>
      </c>
      <c r="D66" s="11">
        <f>C66*0.22</f>
        <v>4461.7620293113505</v>
      </c>
      <c r="E66" s="15"/>
      <c r="F66" s="15"/>
      <c r="G66" s="16"/>
      <c r="H66" s="16"/>
      <c r="I66" s="16"/>
      <c r="J66" s="16"/>
    </row>
    <row r="67" spans="2:11" ht="26.25" customHeight="1">
      <c r="B67" s="7" t="s">
        <v>30</v>
      </c>
      <c r="C67" s="12">
        <f>C28</f>
        <v>5841.3178685493367</v>
      </c>
    </row>
  </sheetData>
  <mergeCells count="3">
    <mergeCell ref="D15:G15"/>
    <mergeCell ref="H32:I32"/>
    <mergeCell ref="D3:G3"/>
  </mergeCells>
  <pageMargins left="0.31496062992125984" right="0.31496062992125984" top="0.35433070866141736" bottom="0.35433070866141736" header="0.31496062992125984" footer="0.31496062992125984"/>
  <pageSetup paperSize="9" scale="65" fitToHeight="2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B1:L87"/>
  <sheetViews>
    <sheetView tabSelected="1" workbookViewId="0">
      <selection activeCell="J87" sqref="J87"/>
    </sheetView>
  </sheetViews>
  <sheetFormatPr defaultColWidth="17.5703125" defaultRowHeight="18"/>
  <cols>
    <col min="1" max="1" width="3" style="3" customWidth="1"/>
    <col min="2" max="2" width="41.85546875" style="3" customWidth="1"/>
    <col min="3" max="3" width="19.85546875" style="3" customWidth="1"/>
    <col min="4" max="4" width="19.140625" style="3" customWidth="1"/>
    <col min="5" max="5" width="9.85546875" style="3" customWidth="1"/>
    <col min="6" max="6" width="21.42578125" style="3" customWidth="1"/>
    <col min="7" max="7" width="17.85546875" style="3" customWidth="1"/>
    <col min="8" max="8" width="20.28515625" style="3" customWidth="1"/>
    <col min="9" max="9" width="16.5703125" style="3" customWidth="1"/>
    <col min="10" max="10" width="21" style="3" customWidth="1"/>
    <col min="11" max="11" width="17.5703125" style="3"/>
    <col min="12" max="12" width="0" style="3" hidden="1" customWidth="1"/>
    <col min="13" max="16384" width="17.5703125" style="3"/>
  </cols>
  <sheetData>
    <row r="1" spans="2:12">
      <c r="B1" s="27" t="s">
        <v>0</v>
      </c>
      <c r="C1" s="4">
        <f>ввод!C3</f>
        <v>2025</v>
      </c>
      <c r="G1" s="34"/>
      <c r="H1" s="34"/>
    </row>
    <row r="2" spans="2:12">
      <c r="B2" s="17" t="s">
        <v>10</v>
      </c>
      <c r="C2" s="4" t="s">
        <v>8</v>
      </c>
    </row>
    <row r="3" spans="2:12" hidden="1">
      <c r="B3" s="36" t="s">
        <v>38</v>
      </c>
      <c r="C3" s="43">
        <v>5</v>
      </c>
      <c r="D3" s="71" t="s">
        <v>40</v>
      </c>
      <c r="E3" s="72"/>
      <c r="F3" s="73"/>
      <c r="G3" s="73"/>
      <c r="H3" s="43">
        <f>ввод!C6</f>
        <v>0</v>
      </c>
    </row>
    <row r="4" spans="2:12" ht="36">
      <c r="B4" s="8" t="s">
        <v>36</v>
      </c>
      <c r="C4" s="7" t="s">
        <v>2</v>
      </c>
      <c r="D4" s="8" t="s">
        <v>4</v>
      </c>
      <c r="E4" s="8"/>
      <c r="F4" s="9" t="s">
        <v>3</v>
      </c>
      <c r="G4" s="8" t="s">
        <v>6</v>
      </c>
      <c r="H4" s="8" t="s">
        <v>7</v>
      </c>
      <c r="I4" s="10" t="s">
        <v>5</v>
      </c>
      <c r="J4" s="7" t="s">
        <v>1</v>
      </c>
      <c r="K4" s="8" t="s">
        <v>11</v>
      </c>
      <c r="L4" s="12">
        <f>IF($C$14="УСН",IF($H$15&gt;0,$C$21*$C$15/100,$C$19*$C$15/100),0)</f>
        <v>201.55</v>
      </c>
    </row>
    <row r="5" spans="2:12" ht="36">
      <c r="B5" s="31" t="s">
        <v>32</v>
      </c>
      <c r="C5" s="11">
        <f>ввод!C7</f>
        <v>690084</v>
      </c>
      <c r="D5" s="62">
        <v>145258</v>
      </c>
      <c r="E5" s="11"/>
      <c r="F5" s="11">
        <f>D5-D6</f>
        <v>105871</v>
      </c>
      <c r="G5" s="11">
        <f>IF($C$2="ОСН",MAX(C10*0.25,0),0)</f>
        <v>12058.75</v>
      </c>
      <c r="H5" s="12">
        <f>IF(C2="УСН",(IF($H$15&lt;1,(IF($L$16/2&gt;=$I$17,$L$16-$I$17,$L$16/2)),$L$16)),0)</f>
        <v>0</v>
      </c>
      <c r="I5" s="11">
        <f>ввод!C14</f>
        <v>630.58823529411768</v>
      </c>
      <c r="J5" s="11">
        <f>SUM(F5:I5)</f>
        <v>118560.33823529411</v>
      </c>
      <c r="K5" s="14">
        <f>J5/C5</f>
        <v>0.17180566168074338</v>
      </c>
      <c r="L5" s="7"/>
    </row>
    <row r="6" spans="2:12">
      <c r="B6" s="31" t="s">
        <v>28</v>
      </c>
      <c r="C6" s="11">
        <f>39387*5</f>
        <v>196935</v>
      </c>
      <c r="D6" s="62">
        <v>39387</v>
      </c>
      <c r="E6" s="15"/>
      <c r="F6" s="15"/>
      <c r="G6" s="16"/>
      <c r="H6" s="16"/>
      <c r="I6" s="16"/>
      <c r="J6" s="16"/>
    </row>
    <row r="7" spans="2:12">
      <c r="B7" s="17" t="s">
        <v>25</v>
      </c>
      <c r="C7" s="18">
        <f>ввод!$C$7+ввод!$C$10</f>
        <v>709037</v>
      </c>
      <c r="D7" s="15"/>
      <c r="E7" s="65" t="s">
        <v>68</v>
      </c>
      <c r="F7" s="62">
        <v>105871</v>
      </c>
      <c r="G7" s="63">
        <v>0</v>
      </c>
      <c r="H7" s="64">
        <v>202</v>
      </c>
      <c r="I7" s="63">
        <v>335</v>
      </c>
      <c r="J7" s="62">
        <f>SUM(F7:I7)</f>
        <v>106408</v>
      </c>
      <c r="K7" s="14">
        <f>J7/C5</f>
        <v>0.15419572110061963</v>
      </c>
    </row>
    <row r="8" spans="2:12">
      <c r="B8" s="7" t="s">
        <v>26</v>
      </c>
      <c r="C8" s="11">
        <f>ввод!$C$8+ввод!$C$11</f>
        <v>660802</v>
      </c>
      <c r="D8" s="15"/>
      <c r="E8" s="15"/>
      <c r="F8" s="15"/>
      <c r="G8" s="16"/>
      <c r="H8" s="16"/>
      <c r="I8" s="16"/>
      <c r="J8" s="16"/>
    </row>
    <row r="9" spans="2:12">
      <c r="B9" s="7" t="s">
        <v>70</v>
      </c>
      <c r="C9" s="11">
        <f>C8-196935</f>
        <v>463867</v>
      </c>
      <c r="D9" s="15"/>
      <c r="E9" s="15"/>
      <c r="F9" s="15"/>
      <c r="G9" s="16"/>
      <c r="H9" s="16"/>
      <c r="I9" s="13" t="s">
        <v>71</v>
      </c>
      <c r="J9" s="13">
        <f>J5-J7</f>
        <v>12152.338235294112</v>
      </c>
    </row>
    <row r="10" spans="2:12">
      <c r="B10" s="7" t="s">
        <v>30</v>
      </c>
      <c r="C10" s="12">
        <f>C7-C8</f>
        <v>48235</v>
      </c>
    </row>
    <row r="11" spans="2:12" ht="6.75" customHeight="1"/>
    <row r="12" spans="2:12" ht="6.75" customHeight="1"/>
    <row r="13" spans="2:12" hidden="1">
      <c r="B13" s="27" t="s">
        <v>0</v>
      </c>
      <c r="C13" s="4">
        <f>ввод!B3</f>
        <v>2025</v>
      </c>
      <c r="D13" s="3" t="s">
        <v>69</v>
      </c>
      <c r="G13" s="34"/>
      <c r="H13" s="34"/>
    </row>
    <row r="14" spans="2:12" hidden="1">
      <c r="B14" s="17" t="s">
        <v>10</v>
      </c>
      <c r="C14" s="4" t="str">
        <f>ввод!B4</f>
        <v>УСН</v>
      </c>
    </row>
    <row r="15" spans="2:12" hidden="1">
      <c r="B15" s="36" t="s">
        <v>38</v>
      </c>
      <c r="C15" s="43">
        <f>IF($C$14="УСН",ввод!B5,0)</f>
        <v>5</v>
      </c>
      <c r="D15" s="71" t="s">
        <v>40</v>
      </c>
      <c r="E15" s="72"/>
      <c r="F15" s="73"/>
      <c r="G15" s="73"/>
      <c r="H15" s="43">
        <f>IF($C$14="УСН",ввод!B6,0)</f>
        <v>1</v>
      </c>
    </row>
    <row r="16" spans="2:12" ht="36" hidden="1">
      <c r="B16" s="8" t="s">
        <v>36</v>
      </c>
      <c r="C16" s="7" t="s">
        <v>2</v>
      </c>
      <c r="D16" s="8" t="s">
        <v>4</v>
      </c>
      <c r="E16" s="8"/>
      <c r="F16" s="9" t="s">
        <v>3</v>
      </c>
      <c r="G16" s="8" t="s">
        <v>6</v>
      </c>
      <c r="H16" s="8" t="s">
        <v>7</v>
      </c>
      <c r="I16" s="10" t="s">
        <v>5</v>
      </c>
      <c r="J16" s="7" t="s">
        <v>1</v>
      </c>
      <c r="K16" s="8" t="s">
        <v>11</v>
      </c>
      <c r="L16" s="12">
        <f>IF($C$14="УСН",IF($H$15&gt;0,$C$21*$C$15/100,$C$19*$C$15/100),0)</f>
        <v>201.55</v>
      </c>
    </row>
    <row r="17" spans="2:12" ht="36" hidden="1">
      <c r="B17" s="31" t="s">
        <v>32</v>
      </c>
      <c r="C17" s="11">
        <f>ввод!$B$7</f>
        <v>18912</v>
      </c>
      <c r="D17" s="62">
        <v>145258</v>
      </c>
      <c r="E17" s="11"/>
      <c r="F17" s="11">
        <f>D17-D18</f>
        <v>105871</v>
      </c>
      <c r="G17" s="11">
        <f>IF($C$14="ОСН",MAX((C19-C20)*0.2,0),0)</f>
        <v>0</v>
      </c>
      <c r="H17" s="12">
        <f>IF(C14="УСН",(IF($H$15&lt;1,(IF($L$16/2&gt;=$I$17,$L$16-$I$17,$L$16/2)),$L$16)),0)</f>
        <v>201.55</v>
      </c>
      <c r="I17" s="11">
        <f>ввод!B14</f>
        <v>335</v>
      </c>
      <c r="J17" s="13">
        <f>SUM(F17:I17)</f>
        <v>106407.55</v>
      </c>
      <c r="K17" s="14">
        <f>J17/C17</f>
        <v>5.6264567470389171</v>
      </c>
      <c r="L17" s="7"/>
    </row>
    <row r="18" spans="2:12" hidden="1">
      <c r="B18" s="31" t="s">
        <v>28</v>
      </c>
      <c r="C18" s="11">
        <f>ввод!$B$8-ввод!$B$9</f>
        <v>13995.411764705883</v>
      </c>
      <c r="D18" s="62">
        <v>39387</v>
      </c>
      <c r="E18" s="15"/>
      <c r="F18" s="15"/>
      <c r="G18" s="16"/>
      <c r="H18" s="16"/>
      <c r="I18" s="16"/>
      <c r="J18" s="16"/>
    </row>
    <row r="19" spans="2:12" hidden="1">
      <c r="B19" s="17" t="s">
        <v>25</v>
      </c>
      <c r="C19" s="18">
        <f>ввод!$B$7+ввод!$B$10</f>
        <v>19997</v>
      </c>
      <c r="D19" s="15"/>
      <c r="E19" s="15"/>
      <c r="F19" s="15"/>
      <c r="G19" s="16"/>
      <c r="H19" s="16"/>
      <c r="I19" s="16"/>
      <c r="J19" s="16"/>
    </row>
    <row r="20" spans="2:12" hidden="1">
      <c r="B20" s="7" t="s">
        <v>26</v>
      </c>
      <c r="C20" s="11">
        <f>ввод!$B$8+ввод!$B$11</f>
        <v>15966</v>
      </c>
      <c r="D20" s="15"/>
      <c r="E20" s="15"/>
      <c r="F20" s="15"/>
      <c r="G20" s="16"/>
      <c r="H20" s="16"/>
      <c r="I20" s="16"/>
      <c r="J20" s="16"/>
    </row>
    <row r="21" spans="2:12" hidden="1">
      <c r="B21" s="7" t="s">
        <v>30</v>
      </c>
      <c r="C21" s="12">
        <f>C19-C20</f>
        <v>4031</v>
      </c>
    </row>
    <row r="22" spans="2:12" hidden="1">
      <c r="B22" s="36"/>
      <c r="C22" s="37"/>
    </row>
    <row r="23" spans="2:12" ht="36" hidden="1">
      <c r="B23" s="46" t="s">
        <v>37</v>
      </c>
      <c r="C23" s="7" t="s">
        <v>2</v>
      </c>
      <c r="D23" s="39"/>
      <c r="E23" s="39"/>
      <c r="F23" s="40"/>
      <c r="G23" s="39"/>
      <c r="H23" s="39"/>
      <c r="I23" s="41"/>
      <c r="J23" s="34"/>
      <c r="K23" s="39"/>
    </row>
    <row r="24" spans="2:12" ht="52.5" hidden="1" customHeight="1">
      <c r="B24" s="31" t="s">
        <v>32</v>
      </c>
      <c r="C24" s="11">
        <f>C17*$G$30</f>
        <v>27405.359347557689</v>
      </c>
      <c r="D24" s="15"/>
      <c r="E24" s="15"/>
      <c r="F24" s="15"/>
      <c r="G24" s="15"/>
      <c r="H24" s="15"/>
      <c r="I24" s="15"/>
      <c r="J24" s="15"/>
      <c r="K24" s="42"/>
    </row>
    <row r="25" spans="2:12" ht="43.5" hidden="1" customHeight="1">
      <c r="B25" s="31" t="s">
        <v>64</v>
      </c>
      <c r="C25" s="11">
        <f t="shared" ref="C25:C28" si="0">C18*$G$30</f>
        <v>20280.736496869777</v>
      </c>
      <c r="D25" s="15"/>
      <c r="E25" s="15"/>
      <c r="F25" s="15"/>
      <c r="G25" s="15"/>
      <c r="H25" s="15"/>
      <c r="I25" s="15"/>
      <c r="J25" s="15"/>
      <c r="K25" s="34"/>
    </row>
    <row r="26" spans="2:12" hidden="1">
      <c r="B26" s="17" t="s">
        <v>25</v>
      </c>
      <c r="C26" s="11">
        <f t="shared" si="0"/>
        <v>28977.631708603592</v>
      </c>
      <c r="D26" s="15"/>
      <c r="E26" s="15"/>
      <c r="F26" s="15"/>
      <c r="G26" s="16"/>
      <c r="H26" s="16"/>
      <c r="I26" s="16"/>
      <c r="J26" s="16"/>
    </row>
    <row r="27" spans="2:12" hidden="1">
      <c r="B27" s="7" t="s">
        <v>26</v>
      </c>
      <c r="C27" s="11">
        <f t="shared" si="0"/>
        <v>23136.313840054256</v>
      </c>
      <c r="D27" s="15" t="s">
        <v>45</v>
      </c>
      <c r="E27" s="15"/>
      <c r="F27" s="11">
        <f>ввод!B14*ввод!B17</f>
        <v>485.44814834136139</v>
      </c>
      <c r="G27" s="16"/>
      <c r="H27" s="16"/>
      <c r="I27" s="16"/>
      <c r="J27" s="16"/>
    </row>
    <row r="28" spans="2:12" hidden="1">
      <c r="B28" s="7" t="s">
        <v>30</v>
      </c>
      <c r="C28" s="47">
        <f t="shared" si="0"/>
        <v>5841.3178685493367</v>
      </c>
      <c r="I28" s="5" t="s">
        <v>58</v>
      </c>
      <c r="J28" s="58">
        <v>490500</v>
      </c>
    </row>
    <row r="29" spans="2:12" hidden="1">
      <c r="I29" s="5" t="s">
        <v>57</v>
      </c>
      <c r="J29" s="58">
        <v>272500</v>
      </c>
    </row>
    <row r="30" spans="2:12" hidden="1">
      <c r="B30" s="19" t="s">
        <v>12</v>
      </c>
      <c r="C30" s="20">
        <f>C13+1</f>
        <v>2026</v>
      </c>
      <c r="D30" s="3" t="s">
        <v>35</v>
      </c>
      <c r="G30" s="35">
        <f>ввод!B17</f>
        <v>1.4490989502727205</v>
      </c>
      <c r="I30" s="59" t="s">
        <v>56</v>
      </c>
      <c r="J30" s="58">
        <v>20000</v>
      </c>
    </row>
    <row r="31" spans="2:12" hidden="1">
      <c r="B31" s="21"/>
      <c r="C31" s="21"/>
      <c r="J31" s="33"/>
      <c r="K31" s="34"/>
    </row>
    <row r="32" spans="2:12" hidden="1">
      <c r="B32" s="6" t="s">
        <v>10</v>
      </c>
      <c r="C32" s="4" t="s">
        <v>9</v>
      </c>
      <c r="D32" s="22" t="s">
        <v>59</v>
      </c>
      <c r="E32" s="22"/>
      <c r="F32" s="23" t="s">
        <v>17</v>
      </c>
      <c r="G32" s="6" t="s">
        <v>46</v>
      </c>
      <c r="H32" s="74" t="str">
        <f>IF(ввод!$B$19&gt;0,"Доходы минус расходы","Доходы")</f>
        <v>Доходы минус расходы</v>
      </c>
      <c r="I32" s="75"/>
      <c r="J32" s="3" t="s">
        <v>31</v>
      </c>
      <c r="K32" s="5">
        <f>ввод!B18</f>
        <v>5</v>
      </c>
      <c r="L32" s="57">
        <f>IF(ввод!$B$19&gt;0,1,0)</f>
        <v>1</v>
      </c>
    </row>
    <row r="33" spans="2:12" hidden="1">
      <c r="B33" s="24" t="s">
        <v>13</v>
      </c>
    </row>
    <row r="34" spans="2:12" hidden="1">
      <c r="B34" s="7" t="s">
        <v>14</v>
      </c>
      <c r="C34" s="25">
        <f>IF($C$32="УСН",(IF($C$26&gt;$J$30,IF($C$26&lt;=$J$29,1,0),0)),0)</f>
        <v>1</v>
      </c>
      <c r="D34" s="7" t="s">
        <v>29</v>
      </c>
      <c r="E34" s="30"/>
    </row>
    <row r="35" spans="2:12" ht="54" hidden="1">
      <c r="C35" s="7" t="s">
        <v>2</v>
      </c>
      <c r="D35" s="8" t="s">
        <v>4</v>
      </c>
      <c r="E35" s="8" t="s">
        <v>65</v>
      </c>
      <c r="F35" s="9" t="s">
        <v>3</v>
      </c>
      <c r="G35" s="8" t="s">
        <v>6</v>
      </c>
      <c r="H35" s="8" t="s">
        <v>7</v>
      </c>
      <c r="I35" s="10" t="s">
        <v>5</v>
      </c>
      <c r="J35" s="7" t="s">
        <v>1</v>
      </c>
      <c r="K35" s="8" t="s">
        <v>11</v>
      </c>
      <c r="L35" s="12">
        <f>IF($C34&gt;0,IF($L$32&gt;0,$C$28*$K$32/100,$C$26*$K$32/100),0)</f>
        <v>292.06589342746685</v>
      </c>
    </row>
    <row r="36" spans="2:12" hidden="1">
      <c r="B36" s="7" t="s">
        <v>27</v>
      </c>
      <c r="C36" s="11">
        <f>IF($C$34&gt;0,C$24,0)</f>
        <v>27405.359347557689</v>
      </c>
      <c r="D36" s="11">
        <f>IF(C34&gt;0,(C36-J30)*5/100,0)</f>
        <v>370.26796737788447</v>
      </c>
      <c r="E36" s="11">
        <f>IF(ввод!$B$20&gt;0,IF(C34&gt;0,$C$25*0.22,0),0)</f>
        <v>0</v>
      </c>
      <c r="F36" s="11">
        <f>D36-D37+E36</f>
        <v>370.26796737788447</v>
      </c>
      <c r="G36" s="11">
        <v>0</v>
      </c>
      <c r="H36" s="12">
        <f>IF($L$32&lt;1,(IF($L$35/2&gt;=$I36,$L35-$I36,$L35/2)),$L35)</f>
        <v>292.06589342746685</v>
      </c>
      <c r="I36" s="11">
        <f>IF($C$34&gt;0,$F$27,0)</f>
        <v>485.44814834136139</v>
      </c>
      <c r="J36" s="13">
        <f>SUM(F36:I36)</f>
        <v>1147.7820091467129</v>
      </c>
      <c r="K36" s="14">
        <f>IF(C36&lt;&gt;0,J36/C36,0)</f>
        <v>4.1881662436548235E-2</v>
      </c>
    </row>
    <row r="37" spans="2:12" hidden="1">
      <c r="B37" s="7" t="s">
        <v>66</v>
      </c>
      <c r="C37" s="11">
        <f>IF($C$34&gt;0,C$27,0)</f>
        <v>23136.313840054256</v>
      </c>
      <c r="D37" s="11">
        <v>0</v>
      </c>
      <c r="E37" s="15"/>
      <c r="F37" s="15"/>
      <c r="G37" s="16"/>
      <c r="H37" s="16"/>
      <c r="I37" s="16"/>
      <c r="J37" s="16"/>
    </row>
    <row r="38" spans="2:12" hidden="1"/>
    <row r="39" spans="2:12" ht="37.5" hidden="1" customHeight="1">
      <c r="B39" s="24" t="s">
        <v>15</v>
      </c>
    </row>
    <row r="40" spans="2:12" hidden="1">
      <c r="B40" s="7" t="s">
        <v>14</v>
      </c>
      <c r="C40" s="25">
        <f>IF($C$32="УСН",(IF($C$26&gt;J29,IF($C$26&lt;=J28,1,0),0)),0)</f>
        <v>0</v>
      </c>
      <c r="D40" s="7" t="s">
        <v>29</v>
      </c>
      <c r="E40" s="30"/>
    </row>
    <row r="41" spans="2:12" ht="54" hidden="1">
      <c r="C41" s="7" t="s">
        <v>2</v>
      </c>
      <c r="D41" s="8" t="s">
        <v>4</v>
      </c>
      <c r="E41" s="8" t="s">
        <v>65</v>
      </c>
      <c r="F41" s="9" t="s">
        <v>3</v>
      </c>
      <c r="G41" s="8" t="s">
        <v>6</v>
      </c>
      <c r="H41" s="8" t="s">
        <v>7</v>
      </c>
      <c r="I41" s="10" t="s">
        <v>5</v>
      </c>
      <c r="J41" s="7" t="s">
        <v>1</v>
      </c>
      <c r="K41" s="8" t="s">
        <v>11</v>
      </c>
      <c r="L41" s="12">
        <f>IF($C40&gt;0,IF($L$32&gt;0,$C$28*$K$32/100,$C$26*$K$32/100),0)</f>
        <v>0</v>
      </c>
    </row>
    <row r="42" spans="2:12" hidden="1">
      <c r="B42" s="7" t="s">
        <v>27</v>
      </c>
      <c r="C42" s="11">
        <f>IF($C$40&gt;0,C$24,0)</f>
        <v>0</v>
      </c>
      <c r="D42" s="11">
        <f>IF(C40&gt;0,( (C42-J29)*7/100+(J29-J30)*5/100),0)</f>
        <v>0</v>
      </c>
      <c r="E42" s="11">
        <f>IF(ввод!$B$20&gt;0,IF(C40&gt;0,$C$25*0.22,0),0)</f>
        <v>0</v>
      </c>
      <c r="F42" s="11">
        <f>D42-D43+E42</f>
        <v>0</v>
      </c>
      <c r="G42" s="11">
        <v>0</v>
      </c>
      <c r="H42" s="12">
        <f>IF($L$32&lt;1,(IF($L41/2&gt;=$I42,$L41-$I42,$L41/2)),$L41)</f>
        <v>0</v>
      </c>
      <c r="I42" s="11">
        <f>IF($C$40&gt;0,$F$27,0)</f>
        <v>0</v>
      </c>
      <c r="J42" s="13">
        <f>SUM(F42:I42)</f>
        <v>0</v>
      </c>
      <c r="K42" s="14">
        <f>IF(C42&lt;&gt;0,J42/C42,0)</f>
        <v>0</v>
      </c>
    </row>
    <row r="43" spans="2:12" hidden="1">
      <c r="B43" s="7" t="s">
        <v>28</v>
      </c>
      <c r="C43" s="11"/>
      <c r="D43" s="11">
        <v>0</v>
      </c>
      <c r="E43" s="15"/>
      <c r="F43" s="15"/>
      <c r="G43" s="16"/>
      <c r="H43" s="16"/>
      <c r="I43" s="16"/>
      <c r="J43" s="16"/>
    </row>
    <row r="44" spans="2:12" hidden="1"/>
    <row r="45" spans="2:12" hidden="1">
      <c r="B45" s="24" t="s">
        <v>54</v>
      </c>
    </row>
    <row r="46" spans="2:12" hidden="1">
      <c r="B46" s="7" t="s">
        <v>14</v>
      </c>
      <c r="C46" s="25">
        <f>IF($C$32="УСН",(IF($C$26&gt;$J$30,IF($C$26&lt;=$J$28,1,0),0)),0)</f>
        <v>1</v>
      </c>
      <c r="D46" s="7" t="s">
        <v>29</v>
      </c>
      <c r="E46" s="30"/>
    </row>
    <row r="47" spans="2:12" ht="45.75" hidden="1" customHeight="1">
      <c r="C47" s="7" t="s">
        <v>2</v>
      </c>
      <c r="D47" s="8" t="s">
        <v>4</v>
      </c>
      <c r="E47" s="8" t="s">
        <v>65</v>
      </c>
      <c r="F47" s="9" t="s">
        <v>3</v>
      </c>
      <c r="G47" s="8" t="s">
        <v>6</v>
      </c>
      <c r="H47" s="8" t="s">
        <v>7</v>
      </c>
      <c r="I47" s="10" t="s">
        <v>5</v>
      </c>
      <c r="J47" s="7" t="s">
        <v>1</v>
      </c>
      <c r="K47" s="8" t="s">
        <v>11</v>
      </c>
      <c r="L47" s="12">
        <f>IF($C46&gt;0,IF($L$32&gt;0,$C$28*$K$32/100,$C$26*$K$32/100),0)</f>
        <v>292.06589342746685</v>
      </c>
    </row>
    <row r="48" spans="2:12" ht="29.25" hidden="1" customHeight="1">
      <c r="B48" s="7" t="s">
        <v>27</v>
      </c>
      <c r="C48" s="11">
        <f>IF($C$46&gt;0,C$24,0)</f>
        <v>27405.359347557689</v>
      </c>
      <c r="D48" s="11">
        <f>C48*0.22</f>
        <v>6029.1790564626917</v>
      </c>
      <c r="E48" s="11">
        <f>IF(ввод!$B$20&gt;0,IF(C46&gt;0,$C$25*0.22,0),0)</f>
        <v>0</v>
      </c>
      <c r="F48" s="11">
        <f>D48-D49+E48</f>
        <v>1567.4170271513412</v>
      </c>
      <c r="G48" s="11">
        <v>0</v>
      </c>
      <c r="H48" s="12">
        <f>IF($L$32&lt;1,(IF($L47/2&gt;=$I48,$L47-$I48,$L47/2)),$L47)</f>
        <v>292.06589342746685</v>
      </c>
      <c r="I48" s="11">
        <f>IF($C$46&gt;0,$F$27,0)</f>
        <v>485.44814834136139</v>
      </c>
      <c r="J48" s="13">
        <f>SUM(F48:I48)</f>
        <v>2344.9310689201693</v>
      </c>
      <c r="K48" s="14">
        <f>IF(C48&lt;&gt;0,J48/C48,0)</f>
        <v>8.5564689708370667E-2</v>
      </c>
    </row>
    <row r="49" spans="2:12" ht="24" hidden="1" customHeight="1">
      <c r="B49" s="7" t="s">
        <v>28</v>
      </c>
      <c r="C49" s="11">
        <f>IF($C$46&gt;0,C$25,0)</f>
        <v>20280.736496869777</v>
      </c>
      <c r="D49" s="11">
        <f>C49*0.22</f>
        <v>4461.7620293113505</v>
      </c>
      <c r="E49" s="15"/>
      <c r="F49" s="15"/>
      <c r="G49" s="16"/>
      <c r="H49" s="16"/>
      <c r="I49" s="16"/>
      <c r="J49" s="16"/>
    </row>
    <row r="50" spans="2:12" hidden="1"/>
    <row r="51" spans="2:12" hidden="1">
      <c r="B51" s="24" t="s">
        <v>60</v>
      </c>
    </row>
    <row r="52" spans="2:12" hidden="1">
      <c r="B52" s="7" t="s">
        <v>14</v>
      </c>
      <c r="C52" s="25">
        <f>IF($C$26&lt;=60000,1,0)</f>
        <v>1</v>
      </c>
      <c r="D52" s="7" t="s">
        <v>29</v>
      </c>
      <c r="E52" s="30"/>
    </row>
    <row r="53" spans="2:12" ht="45.75" hidden="1" customHeight="1">
      <c r="C53" s="7" t="s">
        <v>2</v>
      </c>
      <c r="D53" s="8" t="s">
        <v>4</v>
      </c>
      <c r="E53" s="8" t="s">
        <v>65</v>
      </c>
      <c r="F53" s="9" t="s">
        <v>3</v>
      </c>
      <c r="G53" s="8" t="s">
        <v>6</v>
      </c>
      <c r="H53" s="8" t="s">
        <v>7</v>
      </c>
      <c r="I53" s="10" t="s">
        <v>5</v>
      </c>
      <c r="J53" s="7" t="s">
        <v>1</v>
      </c>
      <c r="K53" s="8" t="s">
        <v>11</v>
      </c>
      <c r="L53" s="12">
        <f>IF($C52&gt;0,IF($L$32&gt;0,$C$28*$K$32/100,$C$26*$K$32/100),0)</f>
        <v>292.06589342746685</v>
      </c>
    </row>
    <row r="54" spans="2:12" hidden="1">
      <c r="B54" s="7" t="s">
        <v>63</v>
      </c>
      <c r="C54" s="11">
        <f>IF($C$52&gt;0,C$26,0)</f>
        <v>28977.631708603592</v>
      </c>
      <c r="D54" s="11">
        <v>0</v>
      </c>
      <c r="E54" s="11">
        <f>IF(ввод!$B$20&gt;0,IF(C52&gt;0,$C$25*0.22,0),0)</f>
        <v>0</v>
      </c>
      <c r="F54" s="11">
        <f>D54-D55+E54</f>
        <v>0</v>
      </c>
      <c r="G54" s="11">
        <v>0</v>
      </c>
      <c r="H54" s="12">
        <f>C54*8/100</f>
        <v>2318.2105366882874</v>
      </c>
      <c r="I54" s="11">
        <v>0</v>
      </c>
      <c r="J54" s="13">
        <f>SUM(F54:I54)</f>
        <v>2318.2105366882874</v>
      </c>
      <c r="K54" s="14">
        <f>IF(C54&lt;&gt;0,J54/C54,0)</f>
        <v>0.08</v>
      </c>
    </row>
    <row r="55" spans="2:12" hidden="1">
      <c r="B55" s="7" t="s">
        <v>62</v>
      </c>
      <c r="C55" s="11">
        <v>0</v>
      </c>
      <c r="D55" s="11">
        <v>0</v>
      </c>
      <c r="E55" s="15"/>
      <c r="F55" s="15"/>
      <c r="G55" s="16"/>
      <c r="H55" s="16"/>
      <c r="I55" s="16"/>
      <c r="J55" s="16"/>
    </row>
    <row r="56" spans="2:12" hidden="1"/>
    <row r="57" spans="2:12" hidden="1">
      <c r="B57" s="24" t="s">
        <v>61</v>
      </c>
    </row>
    <row r="58" spans="2:12" hidden="1">
      <c r="B58" s="7" t="s">
        <v>14</v>
      </c>
      <c r="C58" s="25">
        <f>IF($C$26&lt;=60000,1,0)</f>
        <v>1</v>
      </c>
      <c r="D58" s="7" t="s">
        <v>29</v>
      </c>
      <c r="E58" s="30"/>
    </row>
    <row r="59" spans="2:12" ht="54" hidden="1">
      <c r="C59" s="7" t="s">
        <v>2</v>
      </c>
      <c r="D59" s="8" t="s">
        <v>4</v>
      </c>
      <c r="E59" s="8" t="s">
        <v>65</v>
      </c>
      <c r="F59" s="9" t="s">
        <v>3</v>
      </c>
      <c r="G59" s="8" t="s">
        <v>6</v>
      </c>
      <c r="H59" s="8" t="s">
        <v>7</v>
      </c>
      <c r="I59" s="10" t="s">
        <v>5</v>
      </c>
      <c r="J59" s="7" t="s">
        <v>1</v>
      </c>
      <c r="K59" s="8" t="s">
        <v>11</v>
      </c>
      <c r="L59" s="12">
        <f>IF($C58&gt;0,(C60-C61)/5,0)</f>
        <v>1168.2635737098674</v>
      </c>
    </row>
    <row r="60" spans="2:12" hidden="1">
      <c r="B60" s="7" t="s">
        <v>63</v>
      </c>
      <c r="C60" s="11">
        <f>IF($C$58&gt;0,C$26,0)</f>
        <v>28977.631708603592</v>
      </c>
      <c r="D60" s="11">
        <v>0</v>
      </c>
      <c r="E60" s="11">
        <f>IF(ввод!$B$20&gt;0,IF(C58&gt;0,$C$25*0.22,0),0)</f>
        <v>0</v>
      </c>
      <c r="F60" s="11">
        <f>D60-D61+E60</f>
        <v>0</v>
      </c>
      <c r="G60" s="11">
        <v>0</v>
      </c>
      <c r="H60" s="12">
        <f>MAX(C60*3/100,$L59)</f>
        <v>1168.2635737098674</v>
      </c>
      <c r="I60" s="11">
        <v>0</v>
      </c>
      <c r="J60" s="13">
        <f>SUM(F60:I60)</f>
        <v>1168.2635737098674</v>
      </c>
      <c r="K60" s="14">
        <f>IF(C60&lt;&gt;0,J60/C60,0)</f>
        <v>4.0316047407111068E-2</v>
      </c>
    </row>
    <row r="61" spans="2:12" hidden="1">
      <c r="B61" s="7" t="s">
        <v>62</v>
      </c>
      <c r="C61" s="11">
        <f>IF($C$58&gt;0,C$27+E60,0)</f>
        <v>23136.313840054256</v>
      </c>
      <c r="D61" s="11">
        <v>0</v>
      </c>
      <c r="E61" s="15"/>
      <c r="F61" s="15"/>
      <c r="G61" s="16"/>
      <c r="H61" s="16"/>
      <c r="I61" s="16"/>
      <c r="J61" s="16"/>
    </row>
    <row r="62" spans="2:12" hidden="1"/>
    <row r="63" spans="2:12" hidden="1">
      <c r="B63" s="32" t="s">
        <v>16</v>
      </c>
      <c r="C63" s="7">
        <v>1</v>
      </c>
    </row>
    <row r="64" spans="2:12" ht="54" hidden="1">
      <c r="C64" s="7" t="s">
        <v>2</v>
      </c>
      <c r="D64" s="8" t="s">
        <v>4</v>
      </c>
      <c r="E64" s="8" t="s">
        <v>65</v>
      </c>
      <c r="F64" s="9" t="s">
        <v>3</v>
      </c>
      <c r="G64" s="8" t="s">
        <v>6</v>
      </c>
      <c r="H64" s="8" t="s">
        <v>7</v>
      </c>
      <c r="I64" s="10" t="s">
        <v>5</v>
      </c>
      <c r="J64" s="7" t="s">
        <v>1</v>
      </c>
      <c r="K64" s="8" t="s">
        <v>11</v>
      </c>
    </row>
    <row r="65" spans="2:11" ht="26.25" hidden="1" customHeight="1">
      <c r="B65" s="7" t="s">
        <v>27</v>
      </c>
      <c r="C65" s="11">
        <f>C$24</f>
        <v>27405.359347557689</v>
      </c>
      <c r="D65" s="11">
        <f>C65*0.22</f>
        <v>6029.1790564626917</v>
      </c>
      <c r="E65" s="11">
        <f>IF(ввод!$B$20&gt;0,IF(C63&gt;0,$C$25*0.22,0),0)</f>
        <v>0</v>
      </c>
      <c r="F65" s="11">
        <f>D65-D66+E65</f>
        <v>1567.4170271513412</v>
      </c>
      <c r="G65" s="11">
        <f>MAX(C67*0.25,0)</f>
        <v>1460.3294671373342</v>
      </c>
      <c r="H65" s="11">
        <v>0</v>
      </c>
      <c r="I65" s="11">
        <f>F27</f>
        <v>485.44814834136139</v>
      </c>
      <c r="J65" s="13">
        <f>SUM(F65:I65)</f>
        <v>3513.1946426300369</v>
      </c>
      <c r="K65" s="14">
        <f>IF(C65&lt;&gt;0,J65/C65,0)</f>
        <v>0.12819370832089183</v>
      </c>
    </row>
    <row r="66" spans="2:11" ht="21" hidden="1" customHeight="1">
      <c r="B66" s="7" t="s">
        <v>28</v>
      </c>
      <c r="C66" s="11">
        <f>C$25</f>
        <v>20280.736496869777</v>
      </c>
      <c r="D66" s="11">
        <f>C66*0.22</f>
        <v>4461.7620293113505</v>
      </c>
      <c r="E66" s="15"/>
      <c r="F66" s="15"/>
      <c r="G66" s="16"/>
      <c r="H66" s="16"/>
      <c r="I66" s="16"/>
      <c r="J66" s="16"/>
    </row>
    <row r="67" spans="2:11" ht="26.25" hidden="1" customHeight="1">
      <c r="B67" s="7" t="s">
        <v>30</v>
      </c>
      <c r="C67" s="12">
        <f>C28</f>
        <v>5841.3178685493367</v>
      </c>
    </row>
    <row r="68" spans="2:11" hidden="1"/>
    <row r="69" spans="2:11" hidden="1"/>
    <row r="70" spans="2:11" hidden="1"/>
    <row r="71" spans="2:11" hidden="1"/>
    <row r="72" spans="2:11" hidden="1"/>
    <row r="73" spans="2:11" hidden="1"/>
    <row r="74" spans="2:11" hidden="1"/>
    <row r="75" spans="2:11" hidden="1"/>
    <row r="76" spans="2:11" hidden="1"/>
    <row r="77" spans="2:11" hidden="1"/>
    <row r="78" spans="2:11" hidden="1"/>
    <row r="79" spans="2:11" hidden="1"/>
    <row r="80" spans="2:11" hidden="1"/>
    <row r="81" spans="9:10" hidden="1"/>
    <row r="82" spans="9:10" hidden="1"/>
    <row r="83" spans="9:10" hidden="1"/>
    <row r="84" spans="9:10" hidden="1"/>
    <row r="85" spans="9:10" hidden="1"/>
    <row r="86" spans="9:10" hidden="1"/>
    <row r="87" spans="9:10">
      <c r="I87" s="3" t="s">
        <v>72</v>
      </c>
      <c r="J87" s="3">
        <f>15000*0.22+4.41*0.15</f>
        <v>3300.6615000000002</v>
      </c>
    </row>
  </sheetData>
  <mergeCells count="3">
    <mergeCell ref="D3:G3"/>
    <mergeCell ref="D15:G15"/>
    <mergeCell ref="H32:I32"/>
  </mergeCells>
  <pageMargins left="0.31496062992125984" right="0.31496062992125984" top="0.35433070866141736" bottom="0.35433070866141736" header="0.31496062992125984" footer="0.31496062992125984"/>
  <pageSetup paperSize="9" scale="67" fitToHeight="2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ввод</vt:lpstr>
      <vt:lpstr>Графики</vt:lpstr>
      <vt:lpstr>2026</vt:lpstr>
      <vt:lpstr>ИТ</vt:lpstr>
    </vt:vector>
  </TitlesOfParts>
  <Manager>Пономаренко Е.В.</Manager>
  <Company>ООО "Джелита"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Налог-прогноз 2025</dc:title>
  <dc:subject>Налоги</dc:subject>
  <dc:creator>Пономаренко Е.В.</dc:creator>
  <cp:keywords>Прогноз налогов</cp:keywords>
  <cp:lastModifiedBy>Елена</cp:lastModifiedBy>
  <cp:revision>1</cp:revision>
  <cp:lastPrinted>2026-05-06T14:53:46Z</cp:lastPrinted>
  <dcterms:created xsi:type="dcterms:W3CDTF">2024-11-25T07:42:02Z</dcterms:created>
  <dcterms:modified xsi:type="dcterms:W3CDTF">2026-05-06T17:42:59Z</dcterms:modified>
  <dc:language>VBA</dc:language>
  <cp:version>1</cp:version>
</cp:coreProperties>
</file>