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28755" windowHeight="12600"/>
  </bookViews>
  <sheets>
    <sheet name="УСН5_доп" sheetId="1" r:id="rId1"/>
    <sheet name="Лист1" sheetId="3" r:id="rId2"/>
  </sheets>
  <calcPr calcId="125725"/>
</workbook>
</file>

<file path=xl/calcChain.xml><?xml version="1.0" encoding="utf-8"?>
<calcChain xmlns="http://schemas.openxmlformats.org/spreadsheetml/2006/main">
  <c r="M19" i="1"/>
  <c r="L19"/>
  <c r="L17"/>
  <c r="D9"/>
  <c r="E28" s="1"/>
  <c r="E7"/>
  <c r="D7"/>
  <c r="E6"/>
  <c r="D6"/>
  <c r="E19"/>
  <c r="E9"/>
  <c r="B19"/>
  <c r="C19" s="1"/>
  <c r="L28"/>
  <c r="C28"/>
  <c r="B28"/>
  <c r="I28" s="1"/>
  <c r="M23"/>
  <c r="B23"/>
  <c r="C23" s="1"/>
  <c r="D19" l="1"/>
  <c r="F19" s="1"/>
  <c r="L23"/>
  <c r="H23" s="1"/>
  <c r="K28"/>
  <c r="G28" s="1"/>
  <c r="H19"/>
  <c r="E23"/>
  <c r="D28"/>
  <c r="F28" s="1"/>
  <c r="D23"/>
  <c r="F23" l="1"/>
  <c r="G23" s="1"/>
  <c r="I23" s="1"/>
  <c r="H28"/>
  <c r="G19"/>
  <c r="I19" s="1"/>
  <c r="I31" l="1"/>
</calcChain>
</file>

<file path=xl/sharedStrings.xml><?xml version="1.0" encoding="utf-8"?>
<sst xmlns="http://schemas.openxmlformats.org/spreadsheetml/2006/main" count="63" uniqueCount="46">
  <si>
    <t>Расчет налогов при УСН в 2025-2026 гг</t>
  </si>
  <si>
    <t>автор  - Пономаренко Е.В.</t>
  </si>
  <si>
    <t>Введите цифры в синие клеточки!</t>
  </si>
  <si>
    <t>Исходные данные:</t>
  </si>
  <si>
    <t>год</t>
  </si>
  <si>
    <t>Фиксированные для ИП</t>
  </si>
  <si>
    <t>Максимальные 1%</t>
  </si>
  <si>
    <t>Кол-во сотрудников</t>
  </si>
  <si>
    <t>ФОТ сотрудников за год (исходя из МРОТ)</t>
  </si>
  <si>
    <t>Планируемый годовой доход</t>
  </si>
  <si>
    <t>Процент расходов (по документам)</t>
  </si>
  <si>
    <t>Процент Доп. расходов на рекламу</t>
  </si>
  <si>
    <t>Ставка налога по УСН для "доходы - расходы"</t>
  </si>
  <si>
    <t>Ставка взносов на травматизм (НС и ПЗ)</t>
  </si>
  <si>
    <t>Ставка НДС</t>
  </si>
  <si>
    <t>см. примечание</t>
  </si>
  <si>
    <t>Расчет для объекта "Доходы"</t>
  </si>
  <si>
    <t>ставка 1%</t>
  </si>
  <si>
    <t>Доход</t>
  </si>
  <si>
    <t>Налог  УСН
1%</t>
  </si>
  <si>
    <t>Взносы 
фикс</t>
  </si>
  <si>
    <t>Взносы 
сотрудников</t>
  </si>
  <si>
    <t>Итого к уменьшению
налога</t>
  </si>
  <si>
    <t>Итого к уплате 
по УСН</t>
  </si>
  <si>
    <t>НДС
у уплате</t>
  </si>
  <si>
    <t>Итого налогов 
за год</t>
  </si>
  <si>
    <t>Ндс 5</t>
  </si>
  <si>
    <t>Ндс 7</t>
  </si>
  <si>
    <t>ставка 6%</t>
  </si>
  <si>
    <t>Вариант
2</t>
  </si>
  <si>
    <t>Налог  УСН
6%</t>
  </si>
  <si>
    <t>Расчет для объекта "Доходы - расходы"</t>
  </si>
  <si>
    <t>Вариант
3</t>
  </si>
  <si>
    <t>Расход</t>
  </si>
  <si>
    <t>Налог  по УСН</t>
  </si>
  <si>
    <t>Доп.расходы
на рекламу</t>
  </si>
  <si>
    <t>ставка по рекламе</t>
  </si>
  <si>
    <t>Примечание:</t>
  </si>
  <si>
    <t>1. Если выбрана ставка НДС  5%, то при превышении дохода над 250 млн, с разницы уплачивается НДС 7% , что учтено в данной модели</t>
  </si>
  <si>
    <t>3. Если пользователь планирует перейти на 20% в 2025 г. или на 22% в 2026 г., в том числе с середины 2026 года,  рекомендуется приобрести программу "Маджоранта Прогноз-Налог" для более точного расчета, с учетом всех нюансов.</t>
  </si>
  <si>
    <t>https://madjoranta.ru/programmy_dzhelita/madzhoranta_prognoz-nalog/</t>
  </si>
  <si>
    <t>Вариант
1</t>
  </si>
  <si>
    <t>льготный</t>
  </si>
  <si>
    <t>Экономия - разница между вариантами 2 и 3:</t>
  </si>
  <si>
    <t>2. Предполагается, что исчисление НДС в 2025 году начинается с суммы разности между общим доходом и 60 млн. Рублей, 
а в 2026 году - это 20 млн. рублей соответственно</t>
  </si>
  <si>
    <t>2025 год</t>
  </si>
</sst>
</file>

<file path=xl/styles.xml><?xml version="1.0" encoding="utf-8"?>
<styleSheet xmlns="http://schemas.openxmlformats.org/spreadsheetml/2006/main">
  <numFmts count="3">
    <numFmt numFmtId="41" formatCode="_-* #,##0\ _₽_-;\-* #,##0\ _₽_-;_-* &quot;-&quot;\ _₽_-;_-@_-"/>
    <numFmt numFmtId="43" formatCode="_-* #,##0.00\ _₽_-;\-* #,##0.00\ _₽_-;_-* &quot;-&quot;??\ _₽_-;_-@_-"/>
    <numFmt numFmtId="164" formatCode="0.0%"/>
  </numFmts>
  <fonts count="9">
    <font>
      <sz val="11"/>
      <color theme="1"/>
      <name val="Calibri"/>
      <family val="2"/>
      <charset val="204"/>
      <scheme val="minor"/>
    </font>
    <font>
      <b/>
      <sz val="14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i/>
      <sz val="12"/>
      <color theme="1"/>
      <name val="Arial"/>
      <family val="2"/>
      <charset val="204"/>
    </font>
    <font>
      <sz val="14"/>
      <color rgb="FFFF0000"/>
      <name val="Arial"/>
      <family val="2"/>
      <charset val="204"/>
    </font>
    <font>
      <i/>
      <sz val="14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u/>
      <sz val="14"/>
      <color theme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 applyProtection="1"/>
    <xf numFmtId="0" fontId="2" fillId="0" borderId="0" xfId="0" applyFont="1" applyProtection="1"/>
    <xf numFmtId="0" fontId="1" fillId="0" borderId="0" xfId="0" applyFont="1" applyFill="1" applyProtection="1"/>
    <xf numFmtId="0" fontId="2" fillId="2" borderId="1" xfId="0" applyFont="1" applyFill="1" applyBorder="1" applyProtection="1">
      <protection locked="0"/>
    </xf>
    <xf numFmtId="0" fontId="2" fillId="0" borderId="0" xfId="0" applyFont="1" applyFill="1" applyProtection="1"/>
    <xf numFmtId="41" fontId="2" fillId="3" borderId="1" xfId="0" applyNumberFormat="1" applyFont="1" applyFill="1" applyBorder="1" applyProtection="1"/>
    <xf numFmtId="41" fontId="2" fillId="2" borderId="1" xfId="0" applyNumberFormat="1" applyFont="1" applyFill="1" applyBorder="1" applyProtection="1">
      <protection locked="0"/>
    </xf>
    <xf numFmtId="9" fontId="2" fillId="2" borderId="1" xfId="0" applyNumberFormat="1" applyFont="1" applyFill="1" applyBorder="1" applyProtection="1">
      <protection locked="0"/>
    </xf>
    <xf numFmtId="164" fontId="2" fillId="2" borderId="1" xfId="0" applyNumberFormat="1" applyFont="1" applyFill="1" applyBorder="1" applyProtection="1">
      <protection locked="0"/>
    </xf>
    <xf numFmtId="43" fontId="2" fillId="0" borderId="0" xfId="0" applyNumberFormat="1" applyFont="1" applyProtection="1"/>
    <xf numFmtId="164" fontId="2" fillId="3" borderId="1" xfId="0" applyNumberFormat="1" applyFont="1" applyFill="1" applyBorder="1" applyProtection="1"/>
    <xf numFmtId="0" fontId="3" fillId="3" borderId="0" xfId="0" applyFont="1" applyFill="1" applyProtection="1"/>
    <xf numFmtId="164" fontId="2" fillId="0" borderId="0" xfId="0" applyNumberFormat="1" applyFont="1" applyFill="1" applyBorder="1" applyProtection="1"/>
    <xf numFmtId="0" fontId="3" fillId="0" borderId="0" xfId="0" applyFont="1" applyFill="1" applyProtection="1"/>
    <xf numFmtId="0" fontId="1" fillId="0" borderId="0" xfId="0" applyFont="1" applyAlignment="1" applyProtection="1">
      <alignment horizontal="center" wrapText="1"/>
    </xf>
    <xf numFmtId="0" fontId="2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 wrapText="1"/>
    </xf>
    <xf numFmtId="41" fontId="2" fillId="0" borderId="1" xfId="0" applyNumberFormat="1" applyFont="1" applyFill="1" applyBorder="1" applyProtection="1"/>
    <xf numFmtId="41" fontId="2" fillId="0" borderId="1" xfId="0" applyNumberFormat="1" applyFont="1" applyBorder="1" applyProtection="1"/>
    <xf numFmtId="41" fontId="2" fillId="0" borderId="0" xfId="0" applyNumberFormat="1" applyFont="1" applyBorder="1" applyProtection="1"/>
    <xf numFmtId="41" fontId="2" fillId="0" borderId="0" xfId="0" applyNumberFormat="1" applyFont="1" applyFill="1" applyBorder="1" applyProtection="1"/>
    <xf numFmtId="9" fontId="4" fillId="2" borderId="0" xfId="0" applyNumberFormat="1" applyFont="1" applyFill="1" applyProtection="1">
      <protection locked="0"/>
    </xf>
    <xf numFmtId="41" fontId="2" fillId="0" borderId="0" xfId="0" applyNumberFormat="1" applyFont="1" applyProtection="1"/>
    <xf numFmtId="0" fontId="4" fillId="0" borderId="0" xfId="0" applyFont="1" applyProtection="1"/>
    <xf numFmtId="41" fontId="4" fillId="0" borderId="0" xfId="0" applyNumberFormat="1" applyFont="1" applyProtection="1"/>
    <xf numFmtId="0" fontId="5" fillId="0" borderId="0" xfId="0" applyFont="1" applyProtection="1"/>
    <xf numFmtId="0" fontId="8" fillId="0" borderId="0" xfId="1" applyFont="1" applyAlignment="1" applyProtection="1"/>
    <xf numFmtId="0" fontId="2" fillId="0" borderId="0" xfId="0" applyFont="1" applyAlignment="1" applyProtection="1">
      <alignment horizontal="center" vertical="center"/>
    </xf>
    <xf numFmtId="0" fontId="2" fillId="3" borderId="1" xfId="0" applyFont="1" applyFill="1" applyBorder="1" applyProtection="1"/>
    <xf numFmtId="0" fontId="1" fillId="2" borderId="0" xfId="0" applyFont="1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0" xfId="0" applyFont="1" applyAlignment="1" applyProtection="1">
      <alignment wrapText="1"/>
    </xf>
    <xf numFmtId="0" fontId="6" fillId="0" borderId="0" xfId="0" applyFont="1" applyAlignment="1" applyProtection="1"/>
    <xf numFmtId="0" fontId="0" fillId="0" borderId="0" xfId="0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djoranta.ru/programmy_dzhelita/madzhoranta_prognoz-nalo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6"/>
  <sheetViews>
    <sheetView tabSelected="1" topLeftCell="A5" workbookViewId="0">
      <selection activeCell="D15" sqref="D15"/>
    </sheetView>
  </sheetViews>
  <sheetFormatPr defaultRowHeight="18"/>
  <cols>
    <col min="1" max="1" width="14.7109375" style="2" customWidth="1"/>
    <col min="2" max="2" width="39.7109375" style="2" bestFit="1" customWidth="1"/>
    <col min="3" max="3" width="21.140625" style="2" customWidth="1"/>
    <col min="4" max="4" width="21.140625" style="2" bestFit="1" customWidth="1"/>
    <col min="5" max="5" width="21.140625" style="2" customWidth="1"/>
    <col min="6" max="6" width="21.42578125" style="2" customWidth="1"/>
    <col min="7" max="7" width="20.85546875" style="2" bestFit="1" customWidth="1"/>
    <col min="8" max="9" width="21.140625" style="2" bestFit="1" customWidth="1"/>
    <col min="10" max="10" width="4" style="2" customWidth="1"/>
    <col min="11" max="11" width="14" style="2" hidden="1" customWidth="1"/>
    <col min="12" max="12" width="19.5703125" style="2" hidden="1" customWidth="1"/>
    <col min="13" max="14" width="14" style="2" hidden="1" customWidth="1"/>
    <col min="15" max="20" width="9.140625" style="2" customWidth="1"/>
    <col min="21" max="16384" width="9.140625" style="2"/>
  </cols>
  <sheetData>
    <row r="1" spans="2:6">
      <c r="B1" s="1" t="s">
        <v>0</v>
      </c>
      <c r="D1" s="1" t="s">
        <v>1</v>
      </c>
    </row>
    <row r="2" spans="2:6">
      <c r="B2" s="1"/>
      <c r="D2" s="1"/>
    </row>
    <row r="3" spans="2:6">
      <c r="B3" s="31" t="s">
        <v>2</v>
      </c>
      <c r="C3" s="32"/>
      <c r="D3" s="32"/>
    </row>
    <row r="4" spans="2:6">
      <c r="B4" s="3"/>
      <c r="C4" s="3"/>
    </row>
    <row r="5" spans="2:6">
      <c r="B5" s="1" t="s">
        <v>3</v>
      </c>
      <c r="C5" s="2" t="s">
        <v>4</v>
      </c>
      <c r="D5" s="30">
        <v>2026</v>
      </c>
      <c r="E5" s="30">
        <v>2025</v>
      </c>
    </row>
    <row r="6" spans="2:6" hidden="1">
      <c r="B6" s="5" t="s">
        <v>5</v>
      </c>
      <c r="D6" s="6">
        <f>IF($D$5=2025,53658,57390)</f>
        <v>57390</v>
      </c>
      <c r="E6" s="6">
        <f>IF($E$5=2025,53658,57390)</f>
        <v>53658</v>
      </c>
    </row>
    <row r="7" spans="2:6" ht="24.75" hidden="1" customHeight="1">
      <c r="B7" s="2" t="s">
        <v>6</v>
      </c>
      <c r="D7" s="6">
        <f>IF($D$5=2025,300888,321818)</f>
        <v>321818</v>
      </c>
      <c r="E7" s="6">
        <f>IF($E$5=2025,300888,321818)</f>
        <v>300888</v>
      </c>
    </row>
    <row r="8" spans="2:6">
      <c r="B8" s="2" t="s">
        <v>7</v>
      </c>
      <c r="D8" s="4">
        <v>2</v>
      </c>
    </row>
    <row r="9" spans="2:6" hidden="1">
      <c r="B9" s="2" t="s">
        <v>8</v>
      </c>
      <c r="D9" s="6">
        <f>IF(D5=2025, 22500*D8*12,27100*D8*12)</f>
        <v>650400</v>
      </c>
      <c r="E9" s="6">
        <f>22500*D8*12</f>
        <v>540000</v>
      </c>
    </row>
    <row r="10" spans="2:6">
      <c r="B10" s="2" t="s">
        <v>9</v>
      </c>
      <c r="D10" s="7">
        <v>100000000</v>
      </c>
      <c r="E10" s="7">
        <v>38000000</v>
      </c>
    </row>
    <row r="11" spans="2:6">
      <c r="B11" s="2" t="s">
        <v>10</v>
      </c>
      <c r="D11" s="8">
        <v>0.5</v>
      </c>
    </row>
    <row r="12" spans="2:6">
      <c r="B12" s="2" t="s">
        <v>11</v>
      </c>
      <c r="D12" s="8">
        <v>0.4</v>
      </c>
    </row>
    <row r="13" spans="2:6">
      <c r="B13" s="2" t="s">
        <v>12</v>
      </c>
      <c r="D13" s="8">
        <v>0.1</v>
      </c>
    </row>
    <row r="14" spans="2:6">
      <c r="B14" s="2" t="s">
        <v>13</v>
      </c>
      <c r="D14" s="9">
        <v>2E-3</v>
      </c>
      <c r="F14" s="10"/>
    </row>
    <row r="15" spans="2:6">
      <c r="B15" s="2" t="s">
        <v>14</v>
      </c>
      <c r="D15" s="11">
        <v>0.05</v>
      </c>
      <c r="E15" s="12" t="s">
        <v>15</v>
      </c>
      <c r="F15" s="10"/>
    </row>
    <row r="16" spans="2:6">
      <c r="D16" s="13"/>
      <c r="E16" s="14"/>
      <c r="F16" s="10"/>
    </row>
    <row r="17" spans="1:16">
      <c r="B17" s="2" t="s">
        <v>16</v>
      </c>
      <c r="C17" s="2" t="s">
        <v>17</v>
      </c>
      <c r="D17" s="2" t="s">
        <v>45</v>
      </c>
      <c r="L17" s="24">
        <f>IF(D5=2025,60000000,IF(E10&lt;=20000000,20000000,0))</f>
        <v>0</v>
      </c>
    </row>
    <row r="18" spans="1:16" ht="54">
      <c r="A18" s="15" t="s">
        <v>41</v>
      </c>
      <c r="B18" s="16" t="s">
        <v>18</v>
      </c>
      <c r="C18" s="17" t="s">
        <v>19</v>
      </c>
      <c r="D18" s="17" t="s">
        <v>20</v>
      </c>
      <c r="E18" s="17" t="s">
        <v>21</v>
      </c>
      <c r="F18" s="17" t="s">
        <v>22</v>
      </c>
      <c r="G18" s="17" t="s">
        <v>23</v>
      </c>
      <c r="H18" s="17" t="s">
        <v>24</v>
      </c>
      <c r="I18" s="18" t="s">
        <v>25</v>
      </c>
      <c r="L18" s="2" t="s">
        <v>26</v>
      </c>
      <c r="M18" s="2" t="s">
        <v>27</v>
      </c>
    </row>
    <row r="19" spans="1:16">
      <c r="A19" s="29" t="s">
        <v>42</v>
      </c>
      <c r="B19" s="19">
        <f>E10</f>
        <v>38000000</v>
      </c>
      <c r="C19" s="20">
        <f>$B$19/100</f>
        <v>380000</v>
      </c>
      <c r="D19" s="20">
        <f>MIN((B19-300000)/100,$E$7)+E6</f>
        <v>354546</v>
      </c>
      <c r="E19" s="20">
        <f>$E$9*$D$14+$E$9*0.3</f>
        <v>163080</v>
      </c>
      <c r="F19" s="20">
        <f>IF($D$8&gt;0,MIN($C$19/2,($D$19+$E$19)),MIN($C$19,$D$19))</f>
        <v>190000</v>
      </c>
      <c r="G19" s="20">
        <f>C19-F19</f>
        <v>190000</v>
      </c>
      <c r="H19" s="20">
        <f>L19+M19</f>
        <v>0</v>
      </c>
      <c r="I19" s="6">
        <f>G19+D19+E19+D6*0.13+H19</f>
        <v>715086.7</v>
      </c>
      <c r="L19" s="2">
        <f>IF($E$10&lt;=60000000,0,IF($E$10&lt;=250000000,($E$10-60000000)*0.05,(250000000-60000000)*0.05))</f>
        <v>0</v>
      </c>
      <c r="M19" s="2">
        <f>IF($E$10&lt;=250000000,0,($E$10-250000000)*0.07)</f>
        <v>0</v>
      </c>
    </row>
    <row r="20" spans="1:16">
      <c r="D20" s="13"/>
      <c r="E20" s="14"/>
      <c r="F20" s="10"/>
    </row>
    <row r="21" spans="1:16" ht="33.75" customHeight="1">
      <c r="B21" s="2" t="s">
        <v>16</v>
      </c>
      <c r="C21" s="2" t="s">
        <v>28</v>
      </c>
    </row>
    <row r="22" spans="1:16" ht="54">
      <c r="A22" s="15" t="s">
        <v>29</v>
      </c>
      <c r="B22" s="16" t="s">
        <v>18</v>
      </c>
      <c r="C22" s="17" t="s">
        <v>30</v>
      </c>
      <c r="D22" s="17" t="s">
        <v>20</v>
      </c>
      <c r="E22" s="17" t="s">
        <v>21</v>
      </c>
      <c r="F22" s="17" t="s">
        <v>22</v>
      </c>
      <c r="G22" s="17" t="s">
        <v>23</v>
      </c>
      <c r="H22" s="17" t="s">
        <v>24</v>
      </c>
      <c r="I22" s="18" t="s">
        <v>25</v>
      </c>
      <c r="L22" s="2" t="s">
        <v>26</v>
      </c>
      <c r="M22" s="2" t="s">
        <v>27</v>
      </c>
    </row>
    <row r="23" spans="1:16">
      <c r="B23" s="19">
        <f>$D$10</f>
        <v>100000000</v>
      </c>
      <c r="C23" s="20">
        <f>$B$23*6/100</f>
        <v>6000000</v>
      </c>
      <c r="D23" s="20">
        <f>MIN((B23-300000)/100,$D$7)+$D$6</f>
        <v>379208</v>
      </c>
      <c r="E23" s="20">
        <f>$D$9*$D$14+$D$9*0.3</f>
        <v>196420.8</v>
      </c>
      <c r="F23" s="20">
        <f>IF($D$8&gt;0,MIN($C$23/2,($D$23+$E$23)),MIN($C$23,$D$23))</f>
        <v>575628.80000000005</v>
      </c>
      <c r="G23" s="20">
        <f>C23-F23</f>
        <v>5424371.2000000002</v>
      </c>
      <c r="H23" s="20">
        <f>L23+M23</f>
        <v>5000000</v>
      </c>
      <c r="I23" s="6">
        <f>G23+D23+E23+D9*0.13+H23</f>
        <v>11084552</v>
      </c>
      <c r="L23" s="2">
        <f>IF($D$10&lt;=$L$17,0,IF($D$10&lt;=250000000,($D$10-$L$17)*0.05,(250000000-$L$17)*0.05))</f>
        <v>5000000</v>
      </c>
      <c r="M23" s="2">
        <f>IF($D$10&lt;=250000000,0,($D$10-250000000)*0.07)</f>
        <v>0</v>
      </c>
    </row>
    <row r="24" spans="1:16">
      <c r="B24" s="21"/>
      <c r="C24" s="21"/>
      <c r="D24" s="21"/>
      <c r="E24" s="21"/>
      <c r="F24" s="21"/>
      <c r="G24" s="21"/>
      <c r="H24" s="22"/>
    </row>
    <row r="26" spans="1:16">
      <c r="B26" s="2" t="s">
        <v>31</v>
      </c>
    </row>
    <row r="27" spans="1:16" ht="36">
      <c r="A27" s="15" t="s">
        <v>32</v>
      </c>
      <c r="B27" s="16" t="s">
        <v>18</v>
      </c>
      <c r="C27" s="16" t="s">
        <v>33</v>
      </c>
      <c r="D27" s="17" t="s">
        <v>20</v>
      </c>
      <c r="E27" s="17" t="s">
        <v>21</v>
      </c>
      <c r="F27" s="17" t="s">
        <v>34</v>
      </c>
      <c r="G27" s="17" t="s">
        <v>24</v>
      </c>
      <c r="H27" s="18" t="s">
        <v>25</v>
      </c>
      <c r="I27" s="17" t="s">
        <v>35</v>
      </c>
      <c r="K27" s="2" t="s">
        <v>26</v>
      </c>
      <c r="L27" s="2" t="s">
        <v>27</v>
      </c>
    </row>
    <row r="28" spans="1:16">
      <c r="B28" s="20">
        <f>D10</f>
        <v>100000000</v>
      </c>
      <c r="C28" s="19">
        <f>D10*(D11+D12)</f>
        <v>90000000</v>
      </c>
      <c r="D28" s="20">
        <f>MIN((B28-C28-300000)/100,$D$7)+$D$6</f>
        <v>154390</v>
      </c>
      <c r="E28" s="20">
        <f>$D$9*$D$14+$D$9*0.3</f>
        <v>196420.8</v>
      </c>
      <c r="F28" s="20">
        <f>MAX(($B$28-$C$28-D28)*$D$13,$B$28/100)</f>
        <v>1000000</v>
      </c>
      <c r="G28" s="20">
        <f>K28+L28</f>
        <v>5000000</v>
      </c>
      <c r="H28" s="6">
        <f>SUM(D28:G28)</f>
        <v>6350810.7999999998</v>
      </c>
      <c r="I28" s="20">
        <f>(B28*D12)*O28</f>
        <v>3200000</v>
      </c>
      <c r="K28" s="2">
        <f>IF($D$10&lt;=$L$17,0,IF($D$10&lt;=250000000,($D$10-$L$17)*0.05,(250000000-$L$17)*0.05))</f>
        <v>5000000</v>
      </c>
      <c r="L28" s="2">
        <f>IF($D$10&lt;=250000000,0,($D$10-250000000)*0.07)</f>
        <v>0</v>
      </c>
      <c r="O28" s="23">
        <v>0.08</v>
      </c>
      <c r="P28" s="2" t="s">
        <v>36</v>
      </c>
    </row>
    <row r="31" spans="1:16">
      <c r="B31" s="24"/>
      <c r="F31" s="25" t="s">
        <v>43</v>
      </c>
      <c r="I31" s="26">
        <f>I23-H28-I28</f>
        <v>1533741.2000000002</v>
      </c>
    </row>
    <row r="32" spans="1:16" ht="18.75">
      <c r="A32" s="27" t="s">
        <v>37</v>
      </c>
      <c r="B32" s="27"/>
      <c r="C32" s="27"/>
      <c r="D32" s="27"/>
      <c r="E32" s="27"/>
      <c r="F32" s="27"/>
      <c r="G32" s="27"/>
    </row>
    <row r="33" spans="1:9" ht="18.75">
      <c r="A33" s="27" t="s">
        <v>38</v>
      </c>
    </row>
    <row r="34" spans="1:9" ht="40.5" customHeight="1">
      <c r="A34" s="33" t="s">
        <v>44</v>
      </c>
      <c r="B34" s="35"/>
      <c r="C34" s="35"/>
      <c r="D34" s="35"/>
      <c r="E34" s="35"/>
      <c r="F34" s="35"/>
      <c r="G34" s="35"/>
      <c r="H34" s="35"/>
      <c r="I34" s="35"/>
    </row>
    <row r="35" spans="1:9" ht="55.5" customHeight="1">
      <c r="A35" s="33" t="s">
        <v>39</v>
      </c>
      <c r="B35" s="34"/>
      <c r="C35" s="34"/>
      <c r="D35" s="34"/>
      <c r="E35" s="34"/>
      <c r="F35" s="34"/>
      <c r="G35" s="34"/>
      <c r="H35" s="34"/>
      <c r="I35" s="34"/>
    </row>
    <row r="36" spans="1:9">
      <c r="A36" s="28" t="s">
        <v>40</v>
      </c>
    </row>
  </sheetData>
  <sheetProtection password="E894" sheet="1" objects="1" scenarios="1"/>
  <mergeCells count="3">
    <mergeCell ref="B3:D3"/>
    <mergeCell ref="A35:I35"/>
    <mergeCell ref="A34:I34"/>
  </mergeCells>
  <hyperlinks>
    <hyperlink ref="A36" r:id="rId1"/>
  </hyperlinks>
  <pageMargins left="0.70866141732283472" right="0.70866141732283472" top="0.74803149606299213" bottom="0.74803149606299213" header="0.31496062992125984" footer="0.31496062992125984"/>
  <pageSetup paperSize="9" scale="53" orientation="landscape" horizontalDpi="180" verticalDpi="18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УСН5_доп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2025-11-19T10:49:16Z</cp:lastPrinted>
  <dcterms:created xsi:type="dcterms:W3CDTF">2025-11-19T09:42:45Z</dcterms:created>
  <dcterms:modified xsi:type="dcterms:W3CDTF">2025-12-07T07:54:38Z</dcterms:modified>
</cp:coreProperties>
</file>